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6795" windowHeight="7935" activeTab="1"/>
  </bookViews>
  <sheets>
    <sheet name="Sept2010" sheetId="1" r:id="rId1"/>
    <sheet name="Denombrements2042" sheetId="2" r:id="rId2"/>
    <sheet name="Comparaisons2007" sheetId="3" r:id="rId3"/>
    <sheet name="Feuil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<sst xmlns="http://schemas.openxmlformats.org/spreadsheetml/2006/main" count="339" uniqueCount="290">
  <si>
    <t>N.foyers</t>
  </si>
  <si>
    <t>Impôt net</t>
  </si>
  <si>
    <t>Détails salaires (AJ, BJ, CJ, DJ, EJ)</t>
  </si>
  <si>
    <t>Détails chômage (AP, BP, CP, DP, EP)</t>
  </si>
  <si>
    <t>Salaires</t>
  </si>
  <si>
    <t>Chômage</t>
  </si>
  <si>
    <t>Détails retraites (AS, BS, CS, DS, ES)</t>
  </si>
  <si>
    <t>Retraites</t>
  </si>
  <si>
    <t>Rcm</t>
  </si>
  <si>
    <t>Rf</t>
  </si>
  <si>
    <t>Ba</t>
  </si>
  <si>
    <t>Bic</t>
  </si>
  <si>
    <t>Ba-Bic-Bnc</t>
  </si>
  <si>
    <t>Bnc</t>
  </si>
  <si>
    <t>Revenu total hors PV</t>
  </si>
  <si>
    <t xml:space="preserve">&gt;&gt;&gt; Plusieurs conclusions importantes: (1) les dénombrements sur déclarations 2042 publiés par impots.gouv.fr portent rigoureusement sur le même </t>
  </si>
  <si>
    <t>champ que les tabrep publiés par impots.gouv.fr: pour les revenus 2006, 35,634 millions de foyers (i.e. de déclarations), 528 billions € de salaires</t>
  </si>
  <si>
    <t>déclarés + 28 billions € d'allocchomage (&gt;&gt; 556 billions au total, additionnés dans les tabrep, mais distinguées dans déclarations), 206 billions €</t>
  </si>
  <si>
    <t>(30/5/2010)</t>
  </si>
  <si>
    <t>Enfants mineurs mariés ou majeurs à charge</t>
  </si>
  <si>
    <t>Total</t>
  </si>
  <si>
    <t>Total personnes à charges</t>
  </si>
  <si>
    <t>Total déclarants, conjoints et personnes à charge</t>
  </si>
  <si>
    <t>dont enfants titulaires de la carte d'invalidité</t>
  </si>
  <si>
    <t>Autres personnes vivant sous votre toit et titulaires de carte d'invalidité d'au moins 80%</t>
  </si>
  <si>
    <t>Enfants mineurs (&lt;18 ans au 1/1/n ou né en n) non mariés ou handicapés à charge</t>
  </si>
  <si>
    <t>Nombres de déclarations dont les cases personnes à charge sont renseignées</t>
  </si>
  <si>
    <t>M</t>
  </si>
  <si>
    <t>C</t>
  </si>
  <si>
    <t>D</t>
  </si>
  <si>
    <t>V</t>
  </si>
  <si>
    <t>Pacs</t>
  </si>
  <si>
    <t xml:space="preserve">Détails nombres de foyers </t>
  </si>
  <si>
    <t>Détails heures supplémentaires exonérées (AU, BU, CU, DU)</t>
  </si>
  <si>
    <t>EE</t>
  </si>
  <si>
    <t>DC</t>
  </si>
  <si>
    <t>FU</t>
  </si>
  <si>
    <t>GR</t>
  </si>
  <si>
    <t>CH</t>
  </si>
  <si>
    <t>TS</t>
  </si>
  <si>
    <t>GO</t>
  </si>
  <si>
    <t>DH</t>
  </si>
  <si>
    <t>TR</t>
  </si>
  <si>
    <t>VG</t>
  </si>
  <si>
    <t>BE</t>
  </si>
  <si>
    <t>BA</t>
  </si>
  <si>
    <t>Détails effectifs salaires (AJ, BJ, CJ, DJ, EJ)</t>
  </si>
  <si>
    <t>Détails effectifs chômage (AP, BP, CP, DP, EP)</t>
  </si>
  <si>
    <t>Détails effectifs retraites (AS, BS, CS, DS, ES)</t>
  </si>
  <si>
    <t>N.conjoints</t>
  </si>
  <si>
    <t>N.adultes</t>
  </si>
  <si>
    <t>Rcm bar</t>
  </si>
  <si>
    <t>Rcm PL</t>
  </si>
  <si>
    <t>Rf normal</t>
  </si>
  <si>
    <t>Rf micro</t>
  </si>
  <si>
    <t>N.salariés</t>
  </si>
  <si>
    <t>N.retraités</t>
  </si>
  <si>
    <t>N.non-salariés</t>
  </si>
  <si>
    <t>N.chômeurs et pré-retraités</t>
  </si>
  <si>
    <t>% adultes</t>
  </si>
  <si>
    <t>Total dec</t>
  </si>
  <si>
    <t>Tot p à charge</t>
  </si>
  <si>
    <t>Tot conj</t>
  </si>
  <si>
    <t>% dec</t>
  </si>
  <si>
    <t>% conj</t>
  </si>
  <si>
    <t>% p.à charge</t>
  </si>
  <si>
    <t>(attention: mariés et divorcés dans l'année font 3 déclarations)</t>
  </si>
  <si>
    <t>(€ billions)</t>
  </si>
  <si>
    <t>Détails effectifs non-salariés</t>
  </si>
  <si>
    <t>ba (tous régimes)</t>
  </si>
  <si>
    <t>bic (tous régimes)</t>
  </si>
  <si>
    <t>bnc (tous régimes)</t>
  </si>
  <si>
    <t>decl</t>
  </si>
  <si>
    <t>conjoint</t>
  </si>
  <si>
    <t>pàcharges</t>
  </si>
  <si>
    <t>totaux (dec+conj+pac)</t>
  </si>
  <si>
    <t>ba</t>
  </si>
  <si>
    <t>bic</t>
  </si>
  <si>
    <t>bnc</t>
  </si>
  <si>
    <t>tot</t>
  </si>
  <si>
    <t>totaux (ba+bic+bnc)</t>
  </si>
  <si>
    <t>dec</t>
  </si>
  <si>
    <t>conj</t>
  </si>
  <si>
    <t>paj</t>
  </si>
  <si>
    <t>de retraites (les autres catégories de revenus ne sont pas distinguées dans les tabrep, qui indique uniquement le revenu fiscal total, après déductions)</t>
  </si>
  <si>
    <t>Dénombrements 2042 (mes calculs)</t>
  </si>
  <si>
    <t>Tabrep ("L'impôt par commune")</t>
  </si>
  <si>
    <t>Rev.fiscal</t>
  </si>
  <si>
    <t>SalairesChômage</t>
  </si>
  <si>
    <t>Autres</t>
  </si>
  <si>
    <t>Total des revenus catégoriels</t>
  </si>
  <si>
    <t>(2) même chose pour les autres années, et même chose si l'on compare avec les tableaux publiés dans ASDGFIP; exemple pour 2007:</t>
  </si>
  <si>
    <t>&gt;&gt;&gt; parfaite cohérence entre les différentes sources, les légers écarts s'expliquent aisément:</t>
  </si>
  <si>
    <t>ASDGFIP 2008, Tableaux 210-212</t>
  </si>
  <si>
    <t>ils ont pris l'ensemble des micro fonciers dans le revenu catégoriel, sans abattement</t>
  </si>
  <si>
    <t xml:space="preserve">&gt;&gt;&gt; l'avantage de ASDGFIP est qu'ils donnent toutes les décompositions par région, en particulier ils isolent métropole dans France (=métropole+Dom): </t>
  </si>
  <si>
    <t>Métropople</t>
  </si>
  <si>
    <t>France</t>
  </si>
  <si>
    <t>Dom</t>
  </si>
  <si>
    <t>%métropole</t>
  </si>
  <si>
    <t>%Dom</t>
  </si>
  <si>
    <t>(avec les bic et bnc non professionnels)</t>
  </si>
  <si>
    <t>Comparaisons avec les aggrégats obtenus avec les autres sources DGI</t>
  </si>
  <si>
    <t>PV</t>
  </si>
  <si>
    <t>N.p.à charge majeurs (cases J,N,R)</t>
  </si>
  <si>
    <t>N.enfants (personnes à charges mineurs non mariés) (cases F et H)</t>
  </si>
  <si>
    <t>Enfants majeurs à charge</t>
  </si>
  <si>
    <t>Enfants mariés ou non mariés chargés de famille</t>
  </si>
  <si>
    <t>Enfants résidence alternée</t>
  </si>
  <si>
    <t>DA</t>
  </si>
  <si>
    <t>PFL AV 7.5%</t>
  </si>
  <si>
    <t>Revenus imposables PEA (titres non cotés)</t>
  </si>
  <si>
    <t>Micro foncier</t>
  </si>
  <si>
    <t>Foncier réel</t>
  </si>
  <si>
    <t>DC+CH+TS+TR</t>
  </si>
  <si>
    <t>Revenus des actions et parts</t>
  </si>
  <si>
    <t>Revenus de valeurs mobilières et distributions</t>
  </si>
  <si>
    <t>Intérêts et autres revenus assimilés</t>
  </si>
  <si>
    <t>Autre revenus distribués</t>
  </si>
  <si>
    <t>CG</t>
  </si>
  <si>
    <t>BH</t>
  </si>
  <si>
    <t>Revenus déjà soumis aux PS sans CSG déduc</t>
  </si>
  <si>
    <t>CG+BH</t>
  </si>
  <si>
    <t>Revenus déjà soumis aux PS avec CSG déduc</t>
  </si>
  <si>
    <t>diff</t>
  </si>
  <si>
    <t>&gt;&gt;&gt; deux gros changements à compter des revenus 2008: les dividendes peuvent opter pour le PFL (&gt;&gt;&gt; case DA); et par ailleurs tous les dividendes (PFL ou barème) voient la CSG-CRDS et les prélèvements sociaux prélevés à la source (&gt;&gt;&gt; basculement dans la "CSG placement" et non plus la "CSG patrimoine")</t>
  </si>
  <si>
    <t>Produits AV barème au moins 6 ou 8 ans</t>
  </si>
  <si>
    <t>DE</t>
  </si>
  <si>
    <t>CSG déductible sur revenus patrimoine</t>
  </si>
  <si>
    <t>Total foncier imposable</t>
  </si>
  <si>
    <t>BA+0.7*BE</t>
  </si>
  <si>
    <t>Revenus distribués dans le PEA (non imposables)</t>
  </si>
  <si>
    <t>DC+FU</t>
  </si>
  <si>
    <t xml:space="preserve">PFL Actions </t>
  </si>
  <si>
    <t>PFL autres</t>
  </si>
  <si>
    <t>TS+GO+TR</t>
  </si>
  <si>
    <t>Conclusion: toutes les sources portent sur le même champ: France entière (métropole+Dom), émissions au 31/12/n+1</t>
  </si>
  <si>
    <t>Champ: revenus des années 2005-2008, France entière (métropole + Dom), émissions au 31/12/n+1</t>
  </si>
  <si>
    <t>Dans ce classeur: toutes les saisies manuelles effectuées à partir des dénombrements de déclarations 2042</t>
  </si>
  <si>
    <t>(15/09/2010)</t>
  </si>
  <si>
    <t>Nonsalexo</t>
  </si>
  <si>
    <t>HN</t>
  </si>
  <si>
    <t>IN</t>
  </si>
  <si>
    <t>JN</t>
  </si>
  <si>
    <t>HO</t>
  </si>
  <si>
    <t xml:space="preserve">IO </t>
  </si>
  <si>
    <t>JO</t>
  </si>
  <si>
    <t>HB</t>
  </si>
  <si>
    <t>IB</t>
  </si>
  <si>
    <t>JB</t>
  </si>
  <si>
    <t>HC</t>
  </si>
  <si>
    <t>IC</t>
  </si>
  <si>
    <t>JC</t>
  </si>
  <si>
    <t>HH</t>
  </si>
  <si>
    <t>IH</t>
  </si>
  <si>
    <t>JH</t>
  </si>
  <si>
    <t>HI</t>
  </si>
  <si>
    <t>II</t>
  </si>
  <si>
    <t>JI</t>
  </si>
  <si>
    <t>HF</t>
  </si>
  <si>
    <t>IF</t>
  </si>
  <si>
    <t>JF</t>
  </si>
  <si>
    <t>HL</t>
  </si>
  <si>
    <t>IL</t>
  </si>
  <si>
    <t>JL</t>
  </si>
  <si>
    <t>déficits</t>
  </si>
  <si>
    <t>exo</t>
  </si>
  <si>
    <t>imposable</t>
  </si>
  <si>
    <t>imposable sans cga</t>
  </si>
  <si>
    <t>exo sans cga</t>
  </si>
  <si>
    <t>Détails Bénéfices agricoles (déclaration complémentaire, cadre 5A)</t>
  </si>
  <si>
    <t>Détails Bénéfices industriels et commerciaux (déclaration complémentaire, cadres 5B-5C)</t>
  </si>
  <si>
    <t>KN</t>
  </si>
  <si>
    <t>LN</t>
  </si>
  <si>
    <t>MN</t>
  </si>
  <si>
    <t>KO</t>
  </si>
  <si>
    <t>LO</t>
  </si>
  <si>
    <t>MO</t>
  </si>
  <si>
    <t>KP</t>
  </si>
  <si>
    <t>LP</t>
  </si>
  <si>
    <t>MP</t>
  </si>
  <si>
    <t>KB</t>
  </si>
  <si>
    <t>LB</t>
  </si>
  <si>
    <t>MB</t>
  </si>
  <si>
    <t>KC</t>
  </si>
  <si>
    <t>MC</t>
  </si>
  <si>
    <t>LC</t>
  </si>
  <si>
    <t>KD</t>
  </si>
  <si>
    <t>MD</t>
  </si>
  <si>
    <t>LD</t>
  </si>
  <si>
    <t>NO</t>
  </si>
  <si>
    <t>OO</t>
  </si>
  <si>
    <t>PO</t>
  </si>
  <si>
    <t>NP</t>
  </si>
  <si>
    <t>OP</t>
  </si>
  <si>
    <t>PP</t>
  </si>
  <si>
    <t>KH</t>
  </si>
  <si>
    <t>LH</t>
  </si>
  <si>
    <t>MH</t>
  </si>
  <si>
    <t>KI</t>
  </si>
  <si>
    <t>LI</t>
  </si>
  <si>
    <t>MI</t>
  </si>
  <si>
    <t>KJ</t>
  </si>
  <si>
    <t>MJ</t>
  </si>
  <si>
    <t>LJ</t>
  </si>
  <si>
    <t>KF</t>
  </si>
  <si>
    <t>LF</t>
  </si>
  <si>
    <t>MF</t>
  </si>
  <si>
    <t>KG</t>
  </si>
  <si>
    <t>LG</t>
  </si>
  <si>
    <t>MG</t>
  </si>
  <si>
    <t>KL</t>
  </si>
  <si>
    <t>LL</t>
  </si>
  <si>
    <t>ML</t>
  </si>
  <si>
    <t>KM</t>
  </si>
  <si>
    <t>LM</t>
  </si>
  <si>
    <t>MM</t>
  </si>
  <si>
    <t>Détails Bénéfices non commerciaux (déclaration complémentaire, cadres 5D-5E)</t>
  </si>
  <si>
    <t>HP</t>
  </si>
  <si>
    <t>IP</t>
  </si>
  <si>
    <t>JP</t>
  </si>
  <si>
    <t>HQ</t>
  </si>
  <si>
    <t>IQ</t>
  </si>
  <si>
    <t>JQ</t>
  </si>
  <si>
    <t>QB</t>
  </si>
  <si>
    <t>RB</t>
  </si>
  <si>
    <t>SB</t>
  </si>
  <si>
    <t>QC</t>
  </si>
  <si>
    <t>RC</t>
  </si>
  <si>
    <t>SC</t>
  </si>
  <si>
    <t>QH</t>
  </si>
  <si>
    <t>RH</t>
  </si>
  <si>
    <t>SH</t>
  </si>
  <si>
    <t>QI</t>
  </si>
  <si>
    <t>SI</t>
  </si>
  <si>
    <t>RI</t>
  </si>
  <si>
    <t>RE</t>
  </si>
  <si>
    <t>SE</t>
  </si>
  <si>
    <t>QE</t>
  </si>
  <si>
    <t>QK</t>
  </si>
  <si>
    <t>RK</t>
  </si>
  <si>
    <t>SK</t>
  </si>
  <si>
    <t>Ba_gross</t>
  </si>
  <si>
    <t>Bic_gross</t>
  </si>
  <si>
    <t>Bnc_gross</t>
  </si>
  <si>
    <t>Ba_def</t>
  </si>
  <si>
    <t>Bic_def</t>
  </si>
  <si>
    <t>Bnc_def</t>
  </si>
  <si>
    <t>(20/9/2010)</t>
  </si>
  <si>
    <t>Déficits fonciers</t>
  </si>
  <si>
    <t>BB</t>
  </si>
  <si>
    <t>BC</t>
  </si>
  <si>
    <t>BD</t>
  </si>
  <si>
    <t>FA+..+FL</t>
  </si>
  <si>
    <r>
      <t>Détails Revenus de capitaux mobiliers</t>
    </r>
    <r>
      <rPr>
        <sz val="10"/>
        <rFont val="Arial"/>
        <family val="0"/>
      </rPr>
      <t xml:space="preserve"> (DH, EE,DC,FU,GR,CH,TS, GO, TR)</t>
    </r>
  </si>
  <si>
    <t>Détails Revenus fonciers</t>
  </si>
  <si>
    <t>Détails Plus-values</t>
  </si>
  <si>
    <t>Régime normal</t>
  </si>
  <si>
    <t>VF</t>
  </si>
  <si>
    <t>VI</t>
  </si>
  <si>
    <t>VA</t>
  </si>
  <si>
    <t>Régimes stock options</t>
  </si>
  <si>
    <t>Régimes PV prof</t>
  </si>
  <si>
    <t>HZ-IZ</t>
  </si>
  <si>
    <t>HG-IG</t>
  </si>
  <si>
    <t xml:space="preserve">Détails pensions alimentaires versées </t>
  </si>
  <si>
    <t>AO</t>
  </si>
  <si>
    <t>BO</t>
  </si>
  <si>
    <t>CO</t>
  </si>
  <si>
    <t>AK</t>
  </si>
  <si>
    <t>BK</t>
  </si>
  <si>
    <t>CK</t>
  </si>
  <si>
    <t>GI</t>
  </si>
  <si>
    <t>GJ</t>
  </si>
  <si>
    <t>GP</t>
  </si>
  <si>
    <t>GU</t>
  </si>
  <si>
    <t>EM</t>
  </si>
  <si>
    <t>EL</t>
  </si>
  <si>
    <t xml:space="preserve">Détails pensions alimentaires reçues </t>
  </si>
  <si>
    <t xml:space="preserve">Détails frais réels </t>
  </si>
  <si>
    <t>Détails déductions épargne retraite</t>
  </si>
  <si>
    <t>RS</t>
  </si>
  <si>
    <t>RT</t>
  </si>
  <si>
    <t>SS</t>
  </si>
  <si>
    <t>ST</t>
  </si>
  <si>
    <t>En saisissant à la main les dénombrements des déclarations 2042 (doc pdf www.impots.gouv.fr), on obtient les résultats suivants:</t>
  </si>
  <si>
    <t>(i) Dans ASDGFIP ils ont visiblement ajouté les pensions alimentaires dans les retraites (près de 6 billions € en 2006-2007 d'après dénombrements 2042)</t>
  </si>
  <si>
    <t>(même chose dans le tabrep "L'impôt par commune")</t>
  </si>
  <si>
    <t>(ii) Dans AsDGFIP, ils ont visiblement mis les Bic non professionnels (locations meublées etc.) dans une rubrique "autres", alors que nous les mettons dans Ba/Bic/Bnc</t>
  </si>
  <si>
    <t>(iii) Dans ASDGFIP, ils ont visiblement pris uniquement les RCM hors PL et PV. si on retire PL et PV alors on trouve comme eux; pour les RF ils ont fait comme nous, 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</si>
</sst>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9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9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SourcesBrutes\DonneesFiscales\AutresDonneesDeclarationsRevenus\ASDGFIP2008(impots.gouv.fr)(15-09-2010)\ASDGFIP2008Tab201-2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SourcesBrutes\DonneesFiscales\AutresDonneesDeclarationsRevenus\TabRepNationaux(impots.gouv.fr)(29-05-2010)\TabRepNational2001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i2010"/>
      <sheetName val="Tableau 201"/>
      <sheetName val="Tableau 202"/>
      <sheetName val="Tableau 203"/>
      <sheetName val="Tableau 204"/>
      <sheetName val="Tableau 205"/>
      <sheetName val="Tableau 206"/>
      <sheetName val="Tableau 207"/>
      <sheetName val="Tableau 208"/>
      <sheetName val="Tableau 209"/>
      <sheetName val="Tableau 210"/>
      <sheetName val="Tableau 211"/>
      <sheetName val="Tableau 212"/>
      <sheetName val="Tableau 213"/>
      <sheetName val="Tableau 214"/>
      <sheetName val="Tableau 215"/>
      <sheetName val="Tableau 216"/>
      <sheetName val="Tableau 217"/>
      <sheetName val="Tableau 218"/>
      <sheetName val="Tableau 219"/>
      <sheetName val="Tableau 220"/>
      <sheetName val="Tableau 221"/>
      <sheetName val="Tableau 222"/>
      <sheetName val="Tableau 223"/>
    </sheetNames>
    <sheetDataSet>
      <sheetData sheetId="10">
        <row r="34">
          <cell r="D34">
            <v>35062371</v>
          </cell>
          <cell r="AS34">
            <v>803444.0288179999</v>
          </cell>
          <cell r="AT34">
            <v>48653.656043</v>
          </cell>
        </row>
        <row r="35">
          <cell r="D35">
            <v>973756</v>
          </cell>
          <cell r="AS35">
            <v>14847.274705</v>
          </cell>
          <cell r="AT35">
            <v>451.21473100000003</v>
          </cell>
        </row>
        <row r="36">
          <cell r="D36">
            <v>36036127</v>
          </cell>
          <cell r="AS36">
            <v>818291.3035229999</v>
          </cell>
          <cell r="AT36">
            <v>49104.870774</v>
          </cell>
        </row>
      </sheetData>
      <sheetData sheetId="12">
        <row r="34">
          <cell r="D34">
            <v>897905.2378430003</v>
          </cell>
          <cell r="E34">
            <v>562570814222</v>
          </cell>
          <cell r="F34">
            <v>221113860492</v>
          </cell>
          <cell r="G34">
            <v>7120997759</v>
          </cell>
          <cell r="H34">
            <v>22106965617</v>
          </cell>
          <cell r="I34">
            <v>30242847246</v>
          </cell>
          <cell r="J34">
            <v>20557890626</v>
          </cell>
          <cell r="K34">
            <v>31435979192</v>
          </cell>
          <cell r="L34">
            <v>2755882689</v>
          </cell>
        </row>
        <row r="35">
          <cell r="D35">
            <v>17019.855673</v>
          </cell>
          <cell r="E35">
            <v>12206066384</v>
          </cell>
          <cell r="F35">
            <v>2596604039</v>
          </cell>
          <cell r="G35">
            <v>79214585</v>
          </cell>
          <cell r="H35">
            <v>674721482</v>
          </cell>
          <cell r="I35">
            <v>601920534</v>
          </cell>
          <cell r="J35">
            <v>223079815</v>
          </cell>
          <cell r="K35">
            <v>601095736</v>
          </cell>
          <cell r="L35">
            <v>37153098</v>
          </cell>
        </row>
        <row r="36">
          <cell r="D36">
            <v>914925.0935160003</v>
          </cell>
          <cell r="E36">
            <v>574776880606</v>
          </cell>
          <cell r="F36">
            <v>223710464531</v>
          </cell>
          <cell r="G36">
            <v>7200212344</v>
          </cell>
          <cell r="H36">
            <v>22781687099</v>
          </cell>
          <cell r="I36">
            <v>30844767780</v>
          </cell>
          <cell r="J36">
            <v>20780970441</v>
          </cell>
          <cell r="K36">
            <v>32037074928</v>
          </cell>
          <cell r="L36">
            <v>2793035787</v>
          </cell>
          <cell r="M36">
            <v>15575.23177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2010"/>
      <sheetName val="National2008"/>
      <sheetName val="National2007"/>
      <sheetName val="National2006"/>
      <sheetName val="National2005"/>
      <sheetName val="National2004"/>
      <sheetName val="National2003"/>
      <sheetName val="National2002"/>
      <sheetName val="National2001"/>
    </sheetNames>
    <sheetDataSet>
      <sheetData sheetId="2">
        <row r="19">
          <cell r="C19">
            <v>36036127</v>
          </cell>
          <cell r="D19">
            <v>818291303523</v>
          </cell>
          <cell r="E19">
            <v>49104870774</v>
          </cell>
          <cell r="I19">
            <v>576696329635</v>
          </cell>
          <cell r="K19">
            <v>217168807608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s="4" t="s">
        <v>139</v>
      </c>
      <c r="B1" s="4" t="s">
        <v>138</v>
      </c>
    </row>
    <row r="3" spans="1:2" ht="12.75">
      <c r="A3" s="4"/>
      <c r="B3" s="4"/>
    </row>
    <row r="4" spans="1:2" ht="12.75">
      <c r="A4" s="4"/>
      <c r="B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tabSelected="1" workbookViewId="0" topLeftCell="A1">
      <selection activeCell="A1" sqref="A1"/>
    </sheetView>
  </sheetViews>
  <sheetFormatPr defaultColWidth="11.421875" defaultRowHeight="12.75"/>
  <cols>
    <col min="1" max="20" width="8.7109375" style="0" customWidth="1"/>
  </cols>
  <sheetData>
    <row r="1" spans="1:3" ht="12.75">
      <c r="A1" t="s">
        <v>248</v>
      </c>
      <c r="C1" s="4" t="s">
        <v>285</v>
      </c>
    </row>
    <row r="2" ht="12.75">
      <c r="C2" s="4" t="s">
        <v>137</v>
      </c>
    </row>
    <row r="4" spans="2:9" ht="12.75">
      <c r="B4" s="2" t="s">
        <v>0</v>
      </c>
      <c r="C4" s="2" t="s">
        <v>49</v>
      </c>
      <c r="D4" s="8" t="s">
        <v>104</v>
      </c>
      <c r="E4" s="2" t="s">
        <v>50</v>
      </c>
      <c r="F4" s="8" t="s">
        <v>105</v>
      </c>
      <c r="G4" s="2" t="s">
        <v>20</v>
      </c>
      <c r="I4" s="4"/>
    </row>
    <row r="5" spans="1:7" ht="12.75">
      <c r="A5" s="2">
        <v>2005</v>
      </c>
      <c r="B5" s="5">
        <f>B25+C25+D25+E25+F25</f>
        <v>35105.806000000004</v>
      </c>
      <c r="C5" s="10">
        <f>B25+F25</f>
        <v>12769.091</v>
      </c>
      <c r="D5" s="10">
        <f>J25+K25+L25</f>
        <v>1891.495</v>
      </c>
      <c r="E5" s="5">
        <f>B5+C5+D5</f>
        <v>49766.39200000001</v>
      </c>
      <c r="F5" s="5">
        <f>H25+M25</f>
        <v>16099.255</v>
      </c>
      <c r="G5" s="5">
        <f>E5+F5</f>
        <v>65865.64700000001</v>
      </c>
    </row>
    <row r="6" spans="1:7" ht="12.75">
      <c r="A6" s="2">
        <v>2006</v>
      </c>
      <c r="B6" s="5">
        <f>B26+C26+D26+E26+F26</f>
        <v>35633.850999999995</v>
      </c>
      <c r="C6" s="10">
        <f>B26+F26</f>
        <v>12827.225</v>
      </c>
      <c r="D6" s="10">
        <f>J26+K26+L26</f>
        <v>1933.6249999999998</v>
      </c>
      <c r="E6" s="5">
        <f>B6+C6+D6</f>
        <v>50394.700999999994</v>
      </c>
      <c r="F6" s="5">
        <f>H26+M26</f>
        <v>16199.231</v>
      </c>
      <c r="G6" s="5">
        <f>E6+F6</f>
        <v>66593.932</v>
      </c>
    </row>
    <row r="7" spans="1:7" ht="12.75">
      <c r="A7" s="2">
        <v>2007</v>
      </c>
      <c r="B7" s="5">
        <f>B27+C27+D27+E27+F27</f>
        <v>36036.126000000004</v>
      </c>
      <c r="C7" s="10">
        <f>B27+F27</f>
        <v>12862.112000000001</v>
      </c>
      <c r="D7" s="10">
        <f>J27+K27+L27</f>
        <v>1952.3279999999997</v>
      </c>
      <c r="E7" s="5">
        <f>B7+C7+D7</f>
        <v>50850.566000000006</v>
      </c>
      <c r="F7" s="5">
        <f>H27+M27</f>
        <v>16210.508</v>
      </c>
      <c r="G7" s="5">
        <f>E7+F7</f>
        <v>67061.07400000001</v>
      </c>
    </row>
    <row r="8" spans="1:7" ht="12.75">
      <c r="A8" s="2">
        <v>2008</v>
      </c>
      <c r="B8" s="5">
        <f>B28+C28+D28+E28+F28</f>
        <v>36390.286</v>
      </c>
      <c r="C8" s="10">
        <f>B28+F28</f>
        <v>12932.803</v>
      </c>
      <c r="D8" s="10">
        <f>J28+K28+L28</f>
        <v>1977.13</v>
      </c>
      <c r="E8" s="5">
        <f>B8+C8+D8</f>
        <v>51300.219</v>
      </c>
      <c r="F8" s="5">
        <f>H28+M28</f>
        <v>16337.477</v>
      </c>
      <c r="G8" s="5">
        <f>E8+F8</f>
        <v>67637.696</v>
      </c>
    </row>
    <row r="9" spans="1:7" ht="12.75">
      <c r="A9" s="8" t="s">
        <v>66</v>
      </c>
      <c r="B9" s="5"/>
      <c r="C9" s="10"/>
      <c r="D9" s="10"/>
      <c r="E9" s="5"/>
      <c r="F9" s="5"/>
      <c r="G9" s="5"/>
    </row>
    <row r="10" spans="1:7" ht="12.75">
      <c r="A10" s="2"/>
      <c r="B10" s="5"/>
      <c r="C10" s="10"/>
      <c r="D10" s="10"/>
      <c r="E10" s="5"/>
      <c r="F10" s="5"/>
      <c r="G10" s="5"/>
    </row>
    <row r="11" spans="1:14" ht="12.75">
      <c r="A11" s="2"/>
      <c r="B11" t="s">
        <v>55</v>
      </c>
      <c r="C11" t="s">
        <v>58</v>
      </c>
      <c r="D11" t="s">
        <v>56</v>
      </c>
      <c r="E11" t="s">
        <v>57</v>
      </c>
      <c r="F11" s="10" t="s">
        <v>20</v>
      </c>
      <c r="G11" s="5" t="s">
        <v>59</v>
      </c>
      <c r="H11" s="3"/>
      <c r="I11" s="3" t="s">
        <v>60</v>
      </c>
      <c r="J11" s="3" t="s">
        <v>62</v>
      </c>
      <c r="K11" s="23" t="s">
        <v>61</v>
      </c>
      <c r="L11" s="3" t="s">
        <v>63</v>
      </c>
      <c r="M11" s="3" t="s">
        <v>64</v>
      </c>
      <c r="N11" s="23" t="s">
        <v>65</v>
      </c>
    </row>
    <row r="12" spans="1:14" ht="12.75">
      <c r="A12" s="2">
        <v>2005</v>
      </c>
      <c r="B12" s="3">
        <f>SUM(B44:F44)</f>
        <v>27884.870000000003</v>
      </c>
      <c r="C12" s="3">
        <f>SUM(G44:K44)</f>
        <v>5237.234</v>
      </c>
      <c r="D12" s="3">
        <f>SUM(L44:P44)</f>
        <v>14355.775000000001</v>
      </c>
      <c r="E12" s="10">
        <f>SUM(B102:J102)</f>
        <v>2599.7510000000007</v>
      </c>
      <c r="F12" s="5">
        <f>SUM(B12:E12)</f>
        <v>50077.63000000001</v>
      </c>
      <c r="G12" s="22">
        <f>F12/E5</f>
        <v>1.0062539795932968</v>
      </c>
      <c r="H12" s="3"/>
      <c r="I12" s="3">
        <f aca="true" t="shared" si="0" ref="I12:K15">B44+G44+L44+O102</f>
        <v>38199.006</v>
      </c>
      <c r="J12" s="3">
        <f t="shared" si="0"/>
        <v>11142.652999999998</v>
      </c>
      <c r="K12" s="3">
        <f t="shared" si="0"/>
        <v>635.528</v>
      </c>
      <c r="L12" s="24">
        <f aca="true" t="shared" si="1" ref="L12:N15">I12/B5</f>
        <v>1.0881107814473765</v>
      </c>
      <c r="M12" s="24">
        <f t="shared" si="1"/>
        <v>0.8726269551998649</v>
      </c>
      <c r="N12" s="24">
        <f t="shared" si="1"/>
        <v>0.33599242926891165</v>
      </c>
    </row>
    <row r="13" spans="1:14" ht="12.75">
      <c r="A13" s="2">
        <v>2006</v>
      </c>
      <c r="B13" s="3">
        <f>SUM(B45:F45)</f>
        <v>28451.929</v>
      </c>
      <c r="C13" s="3">
        <f>SUM(G45:K45)</f>
        <v>4904.336</v>
      </c>
      <c r="D13" s="3">
        <f>SUM(L45:P45)</f>
        <v>14698.671999999999</v>
      </c>
      <c r="E13" s="10">
        <f>SUM(B103:J103)</f>
        <v>2604.808</v>
      </c>
      <c r="F13" s="5">
        <f>SUM(B13:E13)</f>
        <v>50659.744999999995</v>
      </c>
      <c r="G13" s="22">
        <f>F13/E6</f>
        <v>1.0052593624873378</v>
      </c>
      <c r="H13" s="3"/>
      <c r="I13" s="3">
        <f t="shared" si="0"/>
        <v>38665.681</v>
      </c>
      <c r="J13" s="3">
        <f t="shared" si="0"/>
        <v>11316.845</v>
      </c>
      <c r="K13" s="3">
        <f t="shared" si="0"/>
        <v>588.4219999999999</v>
      </c>
      <c r="L13" s="24">
        <f t="shared" si="1"/>
        <v>1.0850828612377597</v>
      </c>
      <c r="M13" s="24">
        <f t="shared" si="1"/>
        <v>0.8822520069617551</v>
      </c>
      <c r="N13" s="24">
        <f t="shared" si="1"/>
        <v>0.3043102980153856</v>
      </c>
    </row>
    <row r="14" spans="1:14" ht="12.75">
      <c r="A14" s="2">
        <v>2007</v>
      </c>
      <c r="B14" s="3">
        <f>SUM(B46:F46)</f>
        <v>28655.970999999998</v>
      </c>
      <c r="C14" s="3">
        <f>SUM(G46:K46)</f>
        <v>4727.272000000001</v>
      </c>
      <c r="D14" s="3">
        <f>SUM(L46:P46)</f>
        <v>15041.073</v>
      </c>
      <c r="E14" s="10">
        <f>SUM(B104:J104)</f>
        <v>2674.7180000000003</v>
      </c>
      <c r="F14" s="5">
        <f>SUM(B14:E14)</f>
        <v>51099.03400000001</v>
      </c>
      <c r="G14" s="22">
        <f>F14/E7</f>
        <v>1.0048862386310509</v>
      </c>
      <c r="H14" s="3"/>
      <c r="I14" s="3">
        <f t="shared" si="0"/>
        <v>39137.174</v>
      </c>
      <c r="J14" s="3">
        <f t="shared" si="0"/>
        <v>11476.845</v>
      </c>
      <c r="K14" s="3">
        <f t="shared" si="0"/>
        <v>440.847</v>
      </c>
      <c r="L14" s="24">
        <f t="shared" si="1"/>
        <v>1.0860538671665205</v>
      </c>
      <c r="M14" s="24">
        <f t="shared" si="1"/>
        <v>0.8922986364914253</v>
      </c>
      <c r="N14" s="24">
        <f t="shared" si="1"/>
        <v>0.2258058072209178</v>
      </c>
    </row>
    <row r="15" spans="1:14" ht="12.75">
      <c r="A15" s="2">
        <v>2008</v>
      </c>
      <c r="B15" s="3">
        <f>SUM(B47:F47)</f>
        <v>28932.193999999996</v>
      </c>
      <c r="C15" s="3">
        <f>SUM(G47:K47)</f>
        <v>5218.633</v>
      </c>
      <c r="D15" s="3">
        <f>SUM(L47:P47)</f>
        <v>15366.595413</v>
      </c>
      <c r="E15" s="10">
        <f>SUM(B105:J105)</f>
        <v>0</v>
      </c>
      <c r="F15" s="5">
        <f>SUM(B15:E15)</f>
        <v>49517.42241299999</v>
      </c>
      <c r="G15" s="22">
        <f>F15/E8</f>
        <v>0.9652477782404788</v>
      </c>
      <c r="H15" s="3"/>
      <c r="I15" s="3">
        <f t="shared" si="0"/>
        <v>37566.907</v>
      </c>
      <c r="J15" s="3">
        <f t="shared" si="0"/>
        <v>11526.529</v>
      </c>
      <c r="K15" s="3">
        <f t="shared" si="0"/>
        <v>382.38542900000004</v>
      </c>
      <c r="L15" s="24">
        <f t="shared" si="1"/>
        <v>1.0323333814963696</v>
      </c>
      <c r="M15" s="24">
        <f t="shared" si="1"/>
        <v>0.8912630154499377</v>
      </c>
      <c r="N15" s="24">
        <f t="shared" si="1"/>
        <v>0.1934042925857177</v>
      </c>
    </row>
    <row r="16" spans="1:10" ht="12.75">
      <c r="A16" s="2"/>
      <c r="B16" s="3"/>
      <c r="C16" s="3"/>
      <c r="D16" s="3"/>
      <c r="E16" s="5"/>
      <c r="F16" s="10"/>
      <c r="G16" s="22"/>
      <c r="H16" s="3"/>
      <c r="I16" s="3"/>
      <c r="J16" s="3"/>
    </row>
    <row r="17" spans="1:23" ht="12.75">
      <c r="A17" t="s">
        <v>67</v>
      </c>
      <c r="B17" t="s">
        <v>14</v>
      </c>
      <c r="C17" s="13" t="s">
        <v>4</v>
      </c>
      <c r="D17" s="11" t="s">
        <v>5</v>
      </c>
      <c r="E17" s="11" t="s">
        <v>7</v>
      </c>
      <c r="F17" s="12" t="s">
        <v>12</v>
      </c>
      <c r="G17" s="11" t="s">
        <v>9</v>
      </c>
      <c r="H17" s="14" t="s">
        <v>8</v>
      </c>
      <c r="I17" s="18" t="s">
        <v>10</v>
      </c>
      <c r="J17" s="18" t="s">
        <v>11</v>
      </c>
      <c r="K17" s="18" t="s">
        <v>13</v>
      </c>
      <c r="L17" s="14" t="s">
        <v>140</v>
      </c>
      <c r="M17" s="18" t="s">
        <v>53</v>
      </c>
      <c r="N17" s="19" t="s">
        <v>54</v>
      </c>
      <c r="O17" s="18" t="s">
        <v>51</v>
      </c>
      <c r="P17" s="18" t="s">
        <v>52</v>
      </c>
      <c r="Q17" s="14" t="s">
        <v>103</v>
      </c>
      <c r="R17" s="18" t="s">
        <v>242</v>
      </c>
      <c r="S17" s="18" t="s">
        <v>243</v>
      </c>
      <c r="T17" s="18" t="s">
        <v>244</v>
      </c>
      <c r="U17" s="18" t="s">
        <v>245</v>
      </c>
      <c r="V17" s="18" t="s">
        <v>246</v>
      </c>
      <c r="W17" s="18" t="s">
        <v>247</v>
      </c>
    </row>
    <row r="18" spans="1:23" ht="12.75">
      <c r="A18" s="2">
        <v>2005</v>
      </c>
      <c r="B18" s="6">
        <f>SUM(C18:H18)</f>
        <v>845.8384253976</v>
      </c>
      <c r="C18" s="15">
        <f>SUM(B31:F31)+SUM(Q31:U31)</f>
        <v>504.7862063018</v>
      </c>
      <c r="D18" s="16">
        <f>SUM(G31:K31)</f>
        <v>29.896949944</v>
      </c>
      <c r="E18" s="16">
        <f>SUM(L31:P31)</f>
        <v>195.445891946</v>
      </c>
      <c r="F18" s="16">
        <f>I18+J18+K18+L18</f>
        <v>61.220030971</v>
      </c>
      <c r="G18" s="16">
        <f>0.6*B61+C61</f>
        <v>22.6417776008</v>
      </c>
      <c r="H18" s="17">
        <f>SUM(O18:Q18)</f>
        <v>31.847568633999998</v>
      </c>
      <c r="I18" s="35">
        <f aca="true" t="shared" si="2" ref="I18:K21">R18-0.5*U18</f>
        <v>5.881820735500001</v>
      </c>
      <c r="J18" s="35">
        <f t="shared" si="2"/>
        <v>24.438277899000003</v>
      </c>
      <c r="K18" s="35">
        <f t="shared" si="2"/>
        <v>28.767308777750003</v>
      </c>
      <c r="L18" s="41">
        <f>SUM(B78:D78)+SUM(H78:J78)+1.25*SUM(N78:P78)+SUM(B86:D86)+SUM(K86:M86)+1.25*SUM(Z86:AB86)+SUM(B94:D94)+SUM(H94:J94)+1.25*SUM(N94:P94)</f>
        <v>2.1326235587499998</v>
      </c>
      <c r="M18" s="1">
        <f>C61</f>
        <v>18.467022875</v>
      </c>
      <c r="N18" s="20">
        <f>B61</f>
        <v>6.957924543</v>
      </c>
      <c r="O18" s="1">
        <f>F52+G52+I52+K52+L52+M52</f>
        <v>15.742381024</v>
      </c>
      <c r="P18" s="32">
        <f>B52+C52+D52</f>
        <v>3.934465431</v>
      </c>
      <c r="Q18" s="21">
        <f>B69</f>
        <v>12.170722179</v>
      </c>
      <c r="R18" s="39">
        <f>SUM(E78:G78)+SUM(K78:M78)+1.25*SUM(Q78:S78)</f>
        <v>6.237320735500001</v>
      </c>
      <c r="S18" s="40">
        <f>SUM(E86:J86)+SUM(N86:Y86)+1.25*SUM(AC86:AH86)</f>
        <v>25.153277899000003</v>
      </c>
      <c r="T18" s="40">
        <f>SUM(E94:G94)+SUM(K94:M94)+1.25*SUM(Q94:S94)</f>
        <v>28.881808777750003</v>
      </c>
      <c r="U18" s="35">
        <f>SUM(T78:Y78)</f>
        <v>0.711</v>
      </c>
      <c r="V18" s="35">
        <f>SUM(AI86:AT86)</f>
        <v>1.43</v>
      </c>
      <c r="W18" s="35">
        <f>SUM(T94:Y94)</f>
        <v>0.22899999999999998</v>
      </c>
    </row>
    <row r="19" spans="1:23" ht="12.75">
      <c r="A19" s="2">
        <v>2006</v>
      </c>
      <c r="B19" s="6">
        <f>SUM(C19:H19)</f>
        <v>889.8521632809999</v>
      </c>
      <c r="C19" s="15">
        <f>SUM(B32:F32)+SUM(Q32:U32)</f>
        <v>527.902520042</v>
      </c>
      <c r="D19" s="16">
        <f>SUM(G32:K32)</f>
        <v>27.248360971</v>
      </c>
      <c r="E19" s="16">
        <f>SUM(L32:P32)</f>
        <v>205.84433220600002</v>
      </c>
      <c r="F19" s="16">
        <f>I19+J19+K19+L19</f>
        <v>62.281769618500014</v>
      </c>
      <c r="G19" s="16">
        <f>0.7*B62+C62</f>
        <v>28.4239638505</v>
      </c>
      <c r="H19" s="17">
        <f>SUM(O19:Q19)</f>
        <v>38.151216593</v>
      </c>
      <c r="I19" s="35">
        <f t="shared" si="2"/>
        <v>5.889718350499999</v>
      </c>
      <c r="J19" s="35">
        <f t="shared" si="2"/>
        <v>24.53617106025001</v>
      </c>
      <c r="K19" s="35">
        <f t="shared" si="2"/>
        <v>29.325114708500003</v>
      </c>
      <c r="L19" s="41">
        <f>SUM(B79:D79)+SUM(H79:J79)+1.25*SUM(N79:P79)+SUM(B87:D87)+SUM(K87:M87)+1.25*SUM(Z87:AB87)+SUM(B95:D95)+SUM(H95:J95)+1.25*SUM(N95:P95)</f>
        <v>2.53076549925</v>
      </c>
      <c r="M19" s="1">
        <f>C62</f>
        <v>23.26773808</v>
      </c>
      <c r="N19" s="20">
        <f>B62</f>
        <v>7.366036815</v>
      </c>
      <c r="O19" s="1">
        <f>F53+G53+I53+K53+L53+M53</f>
        <v>18.955813831</v>
      </c>
      <c r="P19" s="32">
        <f>B53+C53+D53</f>
        <v>4.889366212</v>
      </c>
      <c r="Q19" s="21">
        <f>B70</f>
        <v>14.30603655</v>
      </c>
      <c r="R19" s="39">
        <f>SUM(E79:G79)+SUM(K79:M79)+1.25*SUM(Q79:S79)</f>
        <v>6.2542183504999995</v>
      </c>
      <c r="S19" s="40">
        <f>SUM(E87:J87)+SUM(N87:Y87)+1.25*SUM(AC87:AH87)</f>
        <v>25.25117106025001</v>
      </c>
      <c r="T19" s="40">
        <f>SUM(E95:G95)+SUM(K95:M95)+1.25*SUM(Q95:S95)</f>
        <v>29.439614708500002</v>
      </c>
      <c r="U19" s="35">
        <f>SUM(T79:Y79)</f>
        <v>0.7290000000000001</v>
      </c>
      <c r="V19" s="35">
        <f>SUM(AI87:AT87)</f>
        <v>1.43</v>
      </c>
      <c r="W19" s="35">
        <f>SUM(T95:Y95)</f>
        <v>0.22899999999999998</v>
      </c>
    </row>
    <row r="20" spans="1:23" ht="12.75">
      <c r="A20" s="2">
        <v>2007</v>
      </c>
      <c r="B20" s="6">
        <f>SUM(C20:H20)</f>
        <v>930.4639442509501</v>
      </c>
      <c r="C20" s="15">
        <f>SUM(B33:F33)+SUM(Q33:U33)</f>
        <v>550.259682661</v>
      </c>
      <c r="D20" s="16">
        <f>SUM(G33:K33)</f>
        <v>25.927208740000005</v>
      </c>
      <c r="E20" s="16">
        <f>SUM(L33:P33)</f>
        <v>217.07385674900002</v>
      </c>
      <c r="F20" s="16">
        <f>I20+J20+K20+L20</f>
        <v>65.00549168375001</v>
      </c>
      <c r="G20" s="16">
        <f>0.7*B63+C63</f>
        <v>29.7907344182</v>
      </c>
      <c r="H20" s="17">
        <f>SUM(O20:Q20)</f>
        <v>42.406969999</v>
      </c>
      <c r="I20" s="35">
        <f t="shared" si="2"/>
        <v>6.8821881825</v>
      </c>
      <c r="J20" s="35">
        <f t="shared" si="2"/>
        <v>24.537435605250007</v>
      </c>
      <c r="K20" s="35">
        <f t="shared" si="2"/>
        <v>31.03272356475</v>
      </c>
      <c r="L20" s="41">
        <f>SUM(B80:D80)+SUM(H80:J80)+1.25*SUM(N80:P80)+SUM(B88:D88)+SUM(K88:M88)+1.25*SUM(Z88:AB88)+SUM(B96:D96)+SUM(H96:J96)+1.25*SUM(N96:P96)</f>
        <v>2.55314433125</v>
      </c>
      <c r="M20" s="1">
        <f>C63</f>
        <v>24.619751835</v>
      </c>
      <c r="N20" s="20">
        <f>B63</f>
        <v>7.387117976</v>
      </c>
      <c r="O20" s="1">
        <f>F54+G54+I54+K54+L54+M54</f>
        <v>20.938167666000002</v>
      </c>
      <c r="P20" s="32">
        <f>B54+C54+D54</f>
        <v>5.893249326</v>
      </c>
      <c r="Q20" s="21">
        <f>B71</f>
        <v>15.575553007</v>
      </c>
      <c r="R20" s="39">
        <f>SUM(E80:G80)+SUM(K80:M80)+1.25*SUM(Q80:S80)</f>
        <v>7.2141881825</v>
      </c>
      <c r="S20" s="40">
        <f>SUM(E88:J88)+SUM(N88:Y88)+1.25*SUM(AC88:AH88)</f>
        <v>25.289435605250006</v>
      </c>
      <c r="T20" s="40">
        <f>SUM(E96:G96)+SUM(K96:M96)+1.25*SUM(Q96:S96)</f>
        <v>31.14722356475</v>
      </c>
      <c r="U20" s="35">
        <f>SUM(T80:Y80)</f>
        <v>0.664</v>
      </c>
      <c r="V20" s="35">
        <f>SUM(AI88:AT88)</f>
        <v>1.504</v>
      </c>
      <c r="W20" s="35">
        <f>SUM(T96:Y96)</f>
        <v>0.22899999999999998</v>
      </c>
    </row>
    <row r="21" spans="1:23" ht="12.75">
      <c r="A21" s="2">
        <v>2008</v>
      </c>
      <c r="B21" s="6">
        <f>SUM(C21:H21)</f>
        <v>964.7452692039499</v>
      </c>
      <c r="C21" s="15">
        <f>SUM(B34:F34)+SUM(Q34:U34)</f>
        <v>572.7113686619999</v>
      </c>
      <c r="D21" s="16">
        <f>SUM(G34:K34)</f>
        <v>25.676420005</v>
      </c>
      <c r="E21" s="16">
        <f>SUM(L34:P34)</f>
        <v>228.18004295100002</v>
      </c>
      <c r="F21" s="16">
        <f>I21+J21+K21+L21</f>
        <v>64.09864491375001</v>
      </c>
      <c r="G21" s="16">
        <f>0.7*B64+C64</f>
        <v>30.7134710342</v>
      </c>
      <c r="H21" s="17">
        <f>SUM(O21:Q21)</f>
        <v>43.365321638</v>
      </c>
      <c r="I21" s="35">
        <f t="shared" si="2"/>
        <v>7.213858946499999</v>
      </c>
      <c r="J21" s="35">
        <f t="shared" si="2"/>
        <v>23.469152646250002</v>
      </c>
      <c r="K21" s="35">
        <f t="shared" si="2"/>
        <v>30.974685803750003</v>
      </c>
      <c r="L21" s="41">
        <f>SUM(B81:D81)+SUM(H81:J81)+1.25*SUM(N81:P81)+SUM(B89:D89)+SUM(K89:M89)+1.25*SUM(Z89:AB89)+SUM(B97:D97)+SUM(H97:J97)+1.25*SUM(N97:P97)</f>
        <v>2.44094751725</v>
      </c>
      <c r="M21" s="1">
        <f>C64</f>
        <v>25.560756855</v>
      </c>
      <c r="N21" s="20">
        <f>B64</f>
        <v>7.361020256</v>
      </c>
      <c r="O21" s="1">
        <f>F55+G55+I55+K55+L55+M55</f>
        <v>20.525850868</v>
      </c>
      <c r="P21" s="32">
        <f>B55+C55+D55</f>
        <v>13.904413024</v>
      </c>
      <c r="Q21" s="21">
        <f>B72</f>
        <v>8.935057746</v>
      </c>
      <c r="R21" s="39">
        <f>SUM(E81:G81)+SUM(K81:M81)+1.25*SUM(Q81:S81)</f>
        <v>7.6078589464999995</v>
      </c>
      <c r="S21" s="40">
        <f>SUM(E89:J89)+SUM(N89:Y89)+1.25*SUM(AC89:AH89)</f>
        <v>24.22115264625</v>
      </c>
      <c r="T21" s="40">
        <f>SUM(E97:G97)+SUM(K97:M97)+1.25*SUM(Q97:S97)</f>
        <v>31.089185803750002</v>
      </c>
      <c r="U21" s="35">
        <f>SUM(T81:Y81)</f>
        <v>0.7880000000000001</v>
      </c>
      <c r="V21" s="35">
        <f>SUM(AI89:AT89)</f>
        <v>1.504</v>
      </c>
      <c r="W21" s="35">
        <f>SUM(T97:Y97)</f>
        <v>0.22899999999999998</v>
      </c>
    </row>
    <row r="22" ht="12.75">
      <c r="A22" s="9"/>
    </row>
    <row r="23" spans="1:18" ht="12.75">
      <c r="A23" s="9"/>
      <c r="B23" s="4" t="s">
        <v>32</v>
      </c>
      <c r="R23" t="s">
        <v>26</v>
      </c>
    </row>
    <row r="24" spans="2:21" ht="12.75">
      <c r="B24" s="2" t="s">
        <v>27</v>
      </c>
      <c r="C24" s="2" t="s">
        <v>28</v>
      </c>
      <c r="D24" s="2" t="s">
        <v>29</v>
      </c>
      <c r="E24" s="2" t="s">
        <v>30</v>
      </c>
      <c r="F24" s="2" t="s">
        <v>31</v>
      </c>
      <c r="H24" t="s">
        <v>25</v>
      </c>
      <c r="I24" t="s">
        <v>23</v>
      </c>
      <c r="J24" t="s">
        <v>24</v>
      </c>
      <c r="K24" t="s">
        <v>106</v>
      </c>
      <c r="L24" t="s">
        <v>107</v>
      </c>
      <c r="M24" t="s">
        <v>108</v>
      </c>
      <c r="N24" s="8" t="s">
        <v>21</v>
      </c>
      <c r="P24" t="s">
        <v>22</v>
      </c>
      <c r="R24" t="s">
        <v>25</v>
      </c>
      <c r="S24" t="s">
        <v>23</v>
      </c>
      <c r="T24" t="s">
        <v>24</v>
      </c>
      <c r="U24" t="s">
        <v>19</v>
      </c>
    </row>
    <row r="25" spans="1:21" ht="12.75">
      <c r="A25" s="7">
        <v>2005</v>
      </c>
      <c r="B25" s="3">
        <v>12635.026</v>
      </c>
      <c r="C25" s="3">
        <v>13710.042</v>
      </c>
      <c r="D25" s="3">
        <v>4629.175</v>
      </c>
      <c r="E25" s="3">
        <v>3997.498</v>
      </c>
      <c r="F25" s="3">
        <v>134.065</v>
      </c>
      <c r="H25" s="3">
        <v>15890.603</v>
      </c>
      <c r="I25" s="3">
        <v>225.465</v>
      </c>
      <c r="J25" s="3">
        <v>35.125</v>
      </c>
      <c r="K25" s="3">
        <v>1846.837</v>
      </c>
      <c r="L25" s="3">
        <v>9.533</v>
      </c>
      <c r="M25" s="3">
        <v>208.652</v>
      </c>
      <c r="N25" s="3">
        <f>H25+J25+K25+L25+M25</f>
        <v>17990.749999999996</v>
      </c>
      <c r="P25" s="3">
        <f>2*B25+C25+D25+E25+2*F25+H25+J25+K25</f>
        <v>65647.462</v>
      </c>
      <c r="R25" s="3">
        <v>9170.007</v>
      </c>
      <c r="S25" s="3">
        <v>217.92</v>
      </c>
      <c r="T25" s="3">
        <v>34.156</v>
      </c>
      <c r="U25" s="3">
        <v>1580.385</v>
      </c>
    </row>
    <row r="26" spans="1:21" ht="12.75">
      <c r="A26" s="7">
        <v>2006</v>
      </c>
      <c r="B26" s="3">
        <v>12628.125</v>
      </c>
      <c r="C26" s="3">
        <v>14028.444</v>
      </c>
      <c r="D26" s="3">
        <v>4775.544</v>
      </c>
      <c r="E26" s="3">
        <v>4002.638</v>
      </c>
      <c r="F26" s="3">
        <v>199.1</v>
      </c>
      <c r="H26" s="3">
        <v>15990.579</v>
      </c>
      <c r="I26" s="3">
        <v>230.721</v>
      </c>
      <c r="J26" s="3">
        <v>32.877</v>
      </c>
      <c r="K26" s="3">
        <v>1891.215</v>
      </c>
      <c r="L26" s="3">
        <v>9.533</v>
      </c>
      <c r="M26" s="3">
        <v>208.652</v>
      </c>
      <c r="N26" s="3">
        <f>H26+J26+K26+L26+M26</f>
        <v>18132.855999999996</v>
      </c>
      <c r="P26" s="3">
        <f>2*B26+C26+D26+E26+2*F26+H26+J26+K26</f>
        <v>66375.747</v>
      </c>
      <c r="R26" s="3">
        <v>9244.507</v>
      </c>
      <c r="S26" s="3">
        <v>222.818</v>
      </c>
      <c r="T26" s="3">
        <v>32.034</v>
      </c>
      <c r="U26" s="3">
        <v>1618.468</v>
      </c>
    </row>
    <row r="27" spans="1:21" ht="12.75">
      <c r="A27" s="7">
        <v>2007</v>
      </c>
      <c r="B27" s="3">
        <v>12582.119</v>
      </c>
      <c r="C27" s="3">
        <v>14282.62</v>
      </c>
      <c r="D27" s="3">
        <v>4881.843</v>
      </c>
      <c r="E27" s="3">
        <v>4009.551</v>
      </c>
      <c r="F27" s="3">
        <v>279.993</v>
      </c>
      <c r="H27" s="3">
        <v>16001.856</v>
      </c>
      <c r="I27" s="3">
        <v>231.98</v>
      </c>
      <c r="J27" s="3">
        <v>31.562</v>
      </c>
      <c r="K27" s="3">
        <v>1911.233</v>
      </c>
      <c r="L27" s="3">
        <v>9.533</v>
      </c>
      <c r="M27" s="3">
        <v>208.652</v>
      </c>
      <c r="N27" s="3">
        <f>H27+J27+K27+L27+M27</f>
        <v>18162.835999999996</v>
      </c>
      <c r="P27" s="3">
        <f>2*B27+C27+D27+E27+2*F27+H27+J27+K27</f>
        <v>66842.889</v>
      </c>
      <c r="R27" s="3">
        <v>9268.378</v>
      </c>
      <c r="S27" s="3">
        <v>224.272</v>
      </c>
      <c r="T27" s="3">
        <v>30.787</v>
      </c>
      <c r="U27" s="3">
        <v>1631.769</v>
      </c>
    </row>
    <row r="28" spans="1:21" ht="12.75">
      <c r="A28" s="7">
        <v>2008</v>
      </c>
      <c r="B28" s="3">
        <v>12534.967</v>
      </c>
      <c r="C28" s="3">
        <v>14472.267</v>
      </c>
      <c r="D28" s="3">
        <v>4973.976</v>
      </c>
      <c r="E28" s="3">
        <v>4011.24</v>
      </c>
      <c r="F28" s="3">
        <v>397.836</v>
      </c>
      <c r="H28" s="3">
        <v>16051.894</v>
      </c>
      <c r="I28" s="3">
        <v>233.586</v>
      </c>
      <c r="J28" s="3">
        <v>31.219</v>
      </c>
      <c r="K28" s="3">
        <v>1933.66</v>
      </c>
      <c r="L28" s="3">
        <v>12.251</v>
      </c>
      <c r="M28" s="3">
        <v>285.583</v>
      </c>
      <c r="N28" s="3">
        <f>H28+J28+K28+L28+M28</f>
        <v>18314.607</v>
      </c>
      <c r="P28" s="3">
        <f>2*B28+C28+D28+E28+2*F28+H28+J28+K28</f>
        <v>67339.862</v>
      </c>
      <c r="R28" s="3"/>
      <c r="S28" s="3"/>
      <c r="T28" s="3"/>
      <c r="U28" s="3"/>
    </row>
    <row r="29" spans="1:21" ht="12.75">
      <c r="A29" s="7"/>
      <c r="B29" s="3"/>
      <c r="C29" s="3"/>
      <c r="D29" s="3"/>
      <c r="E29" s="3"/>
      <c r="F29" s="3"/>
      <c r="H29" s="3"/>
      <c r="I29" s="3"/>
      <c r="J29" s="3"/>
      <c r="K29" s="3"/>
      <c r="L29" s="3"/>
      <c r="M29" s="3"/>
      <c r="N29" s="3"/>
      <c r="P29" s="3"/>
      <c r="R29" s="3"/>
      <c r="S29" s="3"/>
      <c r="T29" s="3"/>
      <c r="U29" s="3"/>
    </row>
    <row r="30" spans="2:17" ht="12.75">
      <c r="B30" s="4" t="s">
        <v>2</v>
      </c>
      <c r="G30" s="4" t="s">
        <v>3</v>
      </c>
      <c r="L30" s="4" t="s">
        <v>6</v>
      </c>
      <c r="Q30" s="4" t="s">
        <v>33</v>
      </c>
    </row>
    <row r="31" spans="1:21" ht="12.75">
      <c r="A31" s="7">
        <v>2005</v>
      </c>
      <c r="B31" s="35">
        <v>405.316367583</v>
      </c>
      <c r="C31" s="35">
        <v>97.691261726</v>
      </c>
      <c r="D31" s="35">
        <v>1.587827471</v>
      </c>
      <c r="E31" s="35">
        <v>0.188951681</v>
      </c>
      <c r="F31" s="35">
        <v>0.0017978408</v>
      </c>
      <c r="G31" s="35">
        <v>23.889036508</v>
      </c>
      <c r="H31" s="35">
        <v>5.946056336</v>
      </c>
      <c r="I31" s="35">
        <v>0.054969239</v>
      </c>
      <c r="J31" s="35">
        <v>0.006187617</v>
      </c>
      <c r="K31" s="35">
        <v>0.000700244</v>
      </c>
      <c r="L31" s="35">
        <v>166.074126359</v>
      </c>
      <c r="M31" s="35">
        <v>29.159942329</v>
      </c>
      <c r="N31" s="35">
        <v>0.169247872</v>
      </c>
      <c r="O31" s="35">
        <v>0.035476673</v>
      </c>
      <c r="P31" s="35">
        <v>0.007098713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ht="12.75">
      <c r="A32" s="7">
        <v>2006</v>
      </c>
      <c r="B32" s="35">
        <v>423.870470559</v>
      </c>
      <c r="C32" s="35">
        <v>102.27476985</v>
      </c>
      <c r="D32" s="35">
        <v>1.561956237</v>
      </c>
      <c r="E32" s="35">
        <v>0.179331833</v>
      </c>
      <c r="F32" s="35">
        <v>0.015991563</v>
      </c>
      <c r="G32" s="35">
        <f>21.867430516</f>
        <v>21.867430516</v>
      </c>
      <c r="H32" s="35">
        <f>5.324607698</f>
        <v>5.324607698</v>
      </c>
      <c r="I32" s="35">
        <f>0.05002465</f>
        <v>0.05002465</v>
      </c>
      <c r="J32" s="35">
        <f>0.00570276</f>
        <v>0.00570276</v>
      </c>
      <c r="K32" s="35">
        <f>0.000595347</f>
        <v>0.000595347</v>
      </c>
      <c r="L32" s="35">
        <v>174.352290434</v>
      </c>
      <c r="M32" s="35">
        <v>31.285013896</v>
      </c>
      <c r="N32" s="35">
        <v>0.164192281</v>
      </c>
      <c r="O32" s="35">
        <v>0.035426338</v>
      </c>
      <c r="P32" s="35">
        <v>0.007409257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</row>
    <row r="33" spans="1:21" ht="12.75">
      <c r="A33" s="7">
        <v>2007</v>
      </c>
      <c r="B33" s="35">
        <v>440.31826914</v>
      </c>
      <c r="C33" s="35">
        <v>106.578405405</v>
      </c>
      <c r="D33" s="35">
        <v>1.310470845</v>
      </c>
      <c r="E33" s="35">
        <v>0.133102133</v>
      </c>
      <c r="F33" s="35">
        <v>0</v>
      </c>
      <c r="G33" s="35">
        <v>20.864936698</v>
      </c>
      <c r="H33" s="35">
        <v>5.007610743</v>
      </c>
      <c r="I33" s="35">
        <v>0.049131886</v>
      </c>
      <c r="J33" s="35">
        <v>0.005529413</v>
      </c>
      <c r="K33" s="35">
        <v>0</v>
      </c>
      <c r="L33" s="35">
        <v>183.143787059</v>
      </c>
      <c r="M33" s="35">
        <v>33.754692761</v>
      </c>
      <c r="N33" s="35">
        <v>0.144572613</v>
      </c>
      <c r="O33" s="35">
        <v>0.030804316</v>
      </c>
      <c r="P33" s="35">
        <v>0</v>
      </c>
      <c r="Q33" s="35">
        <v>1.699884174</v>
      </c>
      <c r="R33" s="35">
        <v>0.216455531</v>
      </c>
      <c r="S33" s="35">
        <v>0.002802266</v>
      </c>
      <c r="T33" s="35">
        <v>0.000293167</v>
      </c>
      <c r="U33" s="35">
        <v>0</v>
      </c>
    </row>
    <row r="34" spans="1:21" ht="12.75">
      <c r="A34" s="7">
        <v>2008</v>
      </c>
      <c r="B34" s="35">
        <v>449.222906276</v>
      </c>
      <c r="C34" s="35">
        <v>110.458196681</v>
      </c>
      <c r="D34" s="35">
        <v>1.298997422</v>
      </c>
      <c r="E34" s="35">
        <v>0.130351022</v>
      </c>
      <c r="F34" s="35">
        <v>0</v>
      </c>
      <c r="G34" s="35">
        <v>20.167521927</v>
      </c>
      <c r="H34" s="35">
        <v>5.464550987</v>
      </c>
      <c r="I34" s="35">
        <v>0.041167849</v>
      </c>
      <c r="J34" s="35">
        <v>0.003179242</v>
      </c>
      <c r="K34" s="35">
        <v>0</v>
      </c>
      <c r="L34" s="35">
        <v>191.707190233</v>
      </c>
      <c r="M34" s="35">
        <v>36.299202033</v>
      </c>
      <c r="N34" s="35">
        <v>0.143382679</v>
      </c>
      <c r="O34" s="35">
        <v>0.030268006</v>
      </c>
      <c r="P34" s="35">
        <v>0</v>
      </c>
      <c r="Q34" s="35">
        <v>10.172520937</v>
      </c>
      <c r="R34" s="35">
        <v>1.421551142</v>
      </c>
      <c r="S34" s="35">
        <v>0.006552015</v>
      </c>
      <c r="T34" s="35">
        <v>0.000293167</v>
      </c>
      <c r="U34" s="35">
        <v>0</v>
      </c>
    </row>
    <row r="35" spans="1:21" ht="12.75">
      <c r="A35" s="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2:18" ht="12.75">
      <c r="B36" s="4" t="s">
        <v>279</v>
      </c>
      <c r="E36" s="4" t="s">
        <v>278</v>
      </c>
      <c r="H36" s="35"/>
      <c r="I36" s="4" t="s">
        <v>265</v>
      </c>
      <c r="L36" s="35"/>
      <c r="M36" s="35"/>
      <c r="N36" s="35"/>
      <c r="O36" s="4" t="s">
        <v>280</v>
      </c>
      <c r="R36" s="35"/>
    </row>
    <row r="37" spans="2:18" ht="12.75">
      <c r="B37" s="7" t="s">
        <v>269</v>
      </c>
      <c r="C37" s="7" t="s">
        <v>270</v>
      </c>
      <c r="D37" s="7" t="s">
        <v>271</v>
      </c>
      <c r="E37" s="7" t="s">
        <v>266</v>
      </c>
      <c r="F37" s="7" t="s">
        <v>267</v>
      </c>
      <c r="G37" s="7" t="s">
        <v>268</v>
      </c>
      <c r="H37" s="37"/>
      <c r="I37" s="7" t="s">
        <v>272</v>
      </c>
      <c r="J37" s="7" t="s">
        <v>273</v>
      </c>
      <c r="K37" s="7" t="s">
        <v>274</v>
      </c>
      <c r="L37" s="35" t="s">
        <v>275</v>
      </c>
      <c r="M37" s="35" t="s">
        <v>277</v>
      </c>
      <c r="N37" s="35" t="s">
        <v>276</v>
      </c>
      <c r="O37" s="7" t="s">
        <v>281</v>
      </c>
      <c r="P37" s="7" t="s">
        <v>282</v>
      </c>
      <c r="Q37" s="7" t="s">
        <v>283</v>
      </c>
      <c r="R37" s="35" t="s">
        <v>284</v>
      </c>
    </row>
    <row r="38" spans="1:18" ht="12.75">
      <c r="A38" s="7">
        <v>2005</v>
      </c>
      <c r="B38" s="35">
        <v>17.688</v>
      </c>
      <c r="C38" s="35">
        <v>4.549</v>
      </c>
      <c r="D38" s="35">
        <v>0.047</v>
      </c>
      <c r="E38" s="35">
        <v>4.471</v>
      </c>
      <c r="F38" s="35">
        <v>0.274</v>
      </c>
      <c r="G38" s="35">
        <v>0.36</v>
      </c>
      <c r="H38" s="35"/>
      <c r="I38" s="35">
        <v>2.428</v>
      </c>
      <c r="J38" s="35">
        <v>0.363</v>
      </c>
      <c r="K38" s="35">
        <v>4.442</v>
      </c>
      <c r="L38" s="35"/>
      <c r="M38" s="35"/>
      <c r="N38" s="35"/>
      <c r="O38" s="35">
        <v>1.045</v>
      </c>
      <c r="P38" s="35">
        <v>0.438</v>
      </c>
      <c r="Q38" s="35">
        <v>0.132</v>
      </c>
      <c r="R38" s="35">
        <v>0.068</v>
      </c>
    </row>
    <row r="39" spans="1:18" ht="12.75">
      <c r="A39" s="7">
        <v>2006</v>
      </c>
      <c r="B39" s="35">
        <v>18.657</v>
      </c>
      <c r="C39" s="35">
        <v>4.836</v>
      </c>
      <c r="D39" s="35">
        <v>0.046</v>
      </c>
      <c r="E39" s="35">
        <v>4.542</v>
      </c>
      <c r="F39" s="35">
        <v>0.286</v>
      </c>
      <c r="G39" s="35">
        <v>0.4</v>
      </c>
      <c r="H39" s="35"/>
      <c r="I39" s="35">
        <v>0.636</v>
      </c>
      <c r="J39" s="35">
        <v>0.146</v>
      </c>
      <c r="K39" s="35">
        <v>2.691</v>
      </c>
      <c r="L39" s="35">
        <v>1.875</v>
      </c>
      <c r="M39" s="35">
        <v>1.829</v>
      </c>
      <c r="N39" s="35">
        <v>0.233</v>
      </c>
      <c r="O39" s="35">
        <v>1.143</v>
      </c>
      <c r="P39" s="35">
        <v>0.482</v>
      </c>
      <c r="Q39" s="35">
        <v>0.14</v>
      </c>
      <c r="R39" s="35">
        <v>0.069</v>
      </c>
    </row>
    <row r="40" spans="1:18" ht="12.75">
      <c r="A40" s="7">
        <v>2007</v>
      </c>
      <c r="B40" s="35">
        <v>19.675</v>
      </c>
      <c r="C40" s="35">
        <v>5.191</v>
      </c>
      <c r="D40" s="35">
        <v>0.044</v>
      </c>
      <c r="E40" s="35">
        <v>4.631</v>
      </c>
      <c r="F40" s="35">
        <v>0.305</v>
      </c>
      <c r="G40" s="35">
        <v>0.343</v>
      </c>
      <c r="H40" s="35"/>
      <c r="I40" s="35">
        <v>0.587</v>
      </c>
      <c r="J40" s="35">
        <v>0.128</v>
      </c>
      <c r="K40" s="35">
        <v>2.506</v>
      </c>
      <c r="L40" s="35">
        <v>2.201</v>
      </c>
      <c r="M40" s="35">
        <v>1.746</v>
      </c>
      <c r="N40" s="35">
        <v>0.242</v>
      </c>
      <c r="O40" s="35">
        <v>1.218</v>
      </c>
      <c r="P40" s="35">
        <v>0.521</v>
      </c>
      <c r="Q40" s="35">
        <v>0.139</v>
      </c>
      <c r="R40" s="35">
        <v>0.067</v>
      </c>
    </row>
    <row r="41" spans="1:18" ht="12.75">
      <c r="A41" s="7">
        <v>2008</v>
      </c>
      <c r="B41" s="35">
        <v>20.252</v>
      </c>
      <c r="C41" s="35">
        <v>5.465</v>
      </c>
      <c r="D41" s="35">
        <v>0.041</v>
      </c>
      <c r="E41" s="35">
        <v>4.614</v>
      </c>
      <c r="F41" s="35">
        <v>0.317</v>
      </c>
      <c r="G41" s="35">
        <v>0.337</v>
      </c>
      <c r="H41" s="35"/>
      <c r="I41" s="35">
        <v>0.615</v>
      </c>
      <c r="J41" s="35">
        <v>0.134</v>
      </c>
      <c r="K41" s="35">
        <v>2.316</v>
      </c>
      <c r="L41" s="35">
        <v>2.517</v>
      </c>
      <c r="M41" s="35">
        <v>1.709</v>
      </c>
      <c r="N41" s="35">
        <v>0.239</v>
      </c>
      <c r="O41" s="35">
        <v>1.152</v>
      </c>
      <c r="P41" s="35">
        <v>0.502</v>
      </c>
      <c r="Q41" s="35">
        <v>0.12</v>
      </c>
      <c r="R41" s="35">
        <v>0.057</v>
      </c>
    </row>
    <row r="42" spans="1:21" ht="12.75">
      <c r="A42" s="7"/>
      <c r="B42" s="35"/>
      <c r="C42" s="35"/>
      <c r="D42" s="35"/>
      <c r="E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2:12" ht="12.75">
      <c r="B43" s="4" t="s">
        <v>46</v>
      </c>
      <c r="G43" s="4" t="s">
        <v>47</v>
      </c>
      <c r="L43" s="4" t="s">
        <v>48</v>
      </c>
    </row>
    <row r="44" spans="1:21" ht="12.75">
      <c r="A44" s="7">
        <v>2005</v>
      </c>
      <c r="B44" s="3">
        <v>21018.182</v>
      </c>
      <c r="C44" s="3">
        <v>6225.633</v>
      </c>
      <c r="D44" s="3">
        <v>558.057</v>
      </c>
      <c r="E44" s="3">
        <v>75.888</v>
      </c>
      <c r="F44" s="3">
        <v>7.11</v>
      </c>
      <c r="G44" s="3">
        <v>4066.92</v>
      </c>
      <c r="H44" s="3">
        <v>1139.08</v>
      </c>
      <c r="I44" s="3">
        <v>27.744</v>
      </c>
      <c r="J44" s="3">
        <v>3.158</v>
      </c>
      <c r="K44" s="3">
        <v>0.332</v>
      </c>
      <c r="L44" s="3">
        <v>10950.216</v>
      </c>
      <c r="M44" s="3">
        <v>3344.621</v>
      </c>
      <c r="N44" s="3">
        <v>46.983</v>
      </c>
      <c r="O44" s="3">
        <v>11.915</v>
      </c>
      <c r="P44" s="3">
        <v>2.04</v>
      </c>
      <c r="Q44" s="1"/>
      <c r="R44" s="1"/>
      <c r="S44" s="1"/>
      <c r="T44" s="1"/>
      <c r="U44" s="1"/>
    </row>
    <row r="45" spans="1:21" ht="12.75">
      <c r="A45" s="7">
        <v>2006</v>
      </c>
      <c r="B45" s="3">
        <v>21476.356</v>
      </c>
      <c r="C45" s="3">
        <v>6388.09</v>
      </c>
      <c r="D45" s="3">
        <v>515.25</v>
      </c>
      <c r="E45" s="3">
        <v>66.57</v>
      </c>
      <c r="F45" s="3">
        <v>5.663</v>
      </c>
      <c r="G45" s="3">
        <v>3833.026</v>
      </c>
      <c r="H45" s="3">
        <v>1042.432</v>
      </c>
      <c r="I45" s="3">
        <v>25.79</v>
      </c>
      <c r="J45" s="3">
        <v>2.832</v>
      </c>
      <c r="K45" s="3">
        <v>0.256</v>
      </c>
      <c r="L45" s="3">
        <v>11190.257</v>
      </c>
      <c r="M45" s="3">
        <v>3450.557</v>
      </c>
      <c r="N45" s="3">
        <v>44.382</v>
      </c>
      <c r="O45" s="3">
        <v>11.481</v>
      </c>
      <c r="P45" s="3">
        <v>1.995</v>
      </c>
      <c r="Q45" s="1"/>
      <c r="R45" s="1"/>
      <c r="S45" s="1"/>
      <c r="T45" s="1"/>
      <c r="U45" s="1"/>
    </row>
    <row r="46" spans="1:21" ht="12.75">
      <c r="A46" s="7">
        <v>2007</v>
      </c>
      <c r="B46" s="3">
        <v>21772</v>
      </c>
      <c r="C46" s="3">
        <v>6465.24</v>
      </c>
      <c r="D46" s="3">
        <v>377.047</v>
      </c>
      <c r="E46" s="3">
        <v>41.684</v>
      </c>
      <c r="F46" s="3">
        <v>0</v>
      </c>
      <c r="G46" s="3">
        <v>3704.984</v>
      </c>
      <c r="H46" s="3">
        <v>995.534</v>
      </c>
      <c r="I46" s="3">
        <v>24.27</v>
      </c>
      <c r="J46" s="3">
        <v>2.484</v>
      </c>
      <c r="K46" s="3">
        <v>0</v>
      </c>
      <c r="L46" s="3">
        <v>11436.394</v>
      </c>
      <c r="M46" s="3">
        <v>3568.149</v>
      </c>
      <c r="N46" s="3">
        <v>36.53</v>
      </c>
      <c r="O46" s="3">
        <v>0</v>
      </c>
      <c r="P46" s="3">
        <v>0</v>
      </c>
      <c r="Q46" s="1"/>
      <c r="R46" s="1"/>
      <c r="S46" s="1"/>
      <c r="T46" s="1"/>
      <c r="U46" s="1"/>
    </row>
    <row r="47" spans="1:21" ht="12.75">
      <c r="A47" s="7">
        <v>2008</v>
      </c>
      <c r="B47" s="3">
        <v>21977.353</v>
      </c>
      <c r="C47" s="3">
        <v>6550.618</v>
      </c>
      <c r="D47" s="3">
        <v>363.963</v>
      </c>
      <c r="E47" s="3">
        <v>40.26</v>
      </c>
      <c r="F47" s="3">
        <v>0</v>
      </c>
      <c r="G47" s="3">
        <v>3910.062</v>
      </c>
      <c r="H47" s="3">
        <v>1288.852</v>
      </c>
      <c r="I47" s="3">
        <v>18.387</v>
      </c>
      <c r="J47" s="3">
        <v>1.332</v>
      </c>
      <c r="K47" s="3">
        <v>0</v>
      </c>
      <c r="L47" s="3">
        <v>11679.492</v>
      </c>
      <c r="M47" s="3">
        <v>3687.059</v>
      </c>
      <c r="N47" s="3">
        <v>0.035429</v>
      </c>
      <c r="O47" s="3">
        <v>0.008984</v>
      </c>
      <c r="P47" s="3">
        <v>0</v>
      </c>
      <c r="Q47" s="1"/>
      <c r="R47" s="1"/>
      <c r="S47" s="1"/>
      <c r="T47" s="1"/>
      <c r="U47" s="1"/>
    </row>
    <row r="48" spans="1:21" ht="12.7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  <c r="T48" s="1"/>
      <c r="U48" s="1"/>
    </row>
    <row r="49" ht="12.75">
      <c r="B49" s="4" t="s">
        <v>254</v>
      </c>
    </row>
    <row r="50" spans="2:16" ht="12.75">
      <c r="B50" t="s">
        <v>133</v>
      </c>
      <c r="C50" t="s">
        <v>110</v>
      </c>
      <c r="D50" t="s">
        <v>134</v>
      </c>
      <c r="F50" t="s">
        <v>115</v>
      </c>
      <c r="G50" t="s">
        <v>111</v>
      </c>
      <c r="H50" t="s">
        <v>131</v>
      </c>
      <c r="I50" t="s">
        <v>126</v>
      </c>
      <c r="K50" t="s">
        <v>116</v>
      </c>
      <c r="L50" t="s">
        <v>118</v>
      </c>
      <c r="M50" t="s">
        <v>117</v>
      </c>
      <c r="O50" t="s">
        <v>121</v>
      </c>
      <c r="P50" t="s">
        <v>123</v>
      </c>
    </row>
    <row r="51" spans="2:18" ht="12.75">
      <c r="B51" s="2" t="s">
        <v>109</v>
      </c>
      <c r="C51" s="2" t="s">
        <v>41</v>
      </c>
      <c r="D51" s="2" t="s">
        <v>34</v>
      </c>
      <c r="E51" s="2" t="s">
        <v>132</v>
      </c>
      <c r="F51" s="33" t="s">
        <v>35</v>
      </c>
      <c r="G51" s="33" t="s">
        <v>36</v>
      </c>
      <c r="H51" s="2" t="s">
        <v>37</v>
      </c>
      <c r="I51" s="33" t="s">
        <v>38</v>
      </c>
      <c r="J51" s="34" t="s">
        <v>135</v>
      </c>
      <c r="K51" s="33" t="s">
        <v>39</v>
      </c>
      <c r="L51" s="2" t="s">
        <v>40</v>
      </c>
      <c r="M51" s="33" t="s">
        <v>42</v>
      </c>
      <c r="N51" s="8" t="s">
        <v>114</v>
      </c>
      <c r="O51" s="2" t="s">
        <v>119</v>
      </c>
      <c r="P51" s="2" t="s">
        <v>120</v>
      </c>
      <c r="Q51" s="2" t="s">
        <v>122</v>
      </c>
      <c r="R51" s="2" t="s">
        <v>124</v>
      </c>
    </row>
    <row r="52" spans="1:18" ht="12.75">
      <c r="A52" s="7">
        <v>2005</v>
      </c>
      <c r="B52" s="37">
        <v>0</v>
      </c>
      <c r="C52" s="35">
        <v>0.159958197</v>
      </c>
      <c r="D52" s="35">
        <v>3.774507234</v>
      </c>
      <c r="E52" s="35">
        <f>F52+G52</f>
        <v>13.011984434</v>
      </c>
      <c r="F52" s="38">
        <v>12.975194561</v>
      </c>
      <c r="G52" s="38">
        <v>0.036789873</v>
      </c>
      <c r="H52" s="35">
        <v>1.107870489</v>
      </c>
      <c r="I52" s="38">
        <v>0.187621912</v>
      </c>
      <c r="J52" s="37">
        <f>K52+L52+M52</f>
        <v>2.542774678</v>
      </c>
      <c r="K52" s="38">
        <v>1.385428895</v>
      </c>
      <c r="L52" s="35">
        <v>0.00350262</v>
      </c>
      <c r="M52" s="38">
        <v>1.153843163</v>
      </c>
      <c r="N52" s="35">
        <f>F52+I52+K52+M52</f>
        <v>15.702088531</v>
      </c>
      <c r="O52" s="37">
        <v>0.300868891</v>
      </c>
      <c r="P52" s="35">
        <v>0</v>
      </c>
      <c r="Q52" s="35">
        <f>O52+P52</f>
        <v>0.300868891</v>
      </c>
      <c r="R52" s="35">
        <f>N52-Q52</f>
        <v>15.401219639999999</v>
      </c>
    </row>
    <row r="53" spans="1:18" ht="12.75">
      <c r="A53" s="7">
        <v>2006</v>
      </c>
      <c r="B53" s="37">
        <v>0</v>
      </c>
      <c r="C53" s="35">
        <v>0.310568996</v>
      </c>
      <c r="D53" s="35">
        <v>4.578797216</v>
      </c>
      <c r="E53" s="35">
        <f>F53+G53</f>
        <v>15.263224782</v>
      </c>
      <c r="F53" s="38">
        <v>15.218817621</v>
      </c>
      <c r="G53" s="38">
        <v>0.044407161</v>
      </c>
      <c r="H53" s="35">
        <v>1.492973322</v>
      </c>
      <c r="I53" s="38">
        <v>0.338763065</v>
      </c>
      <c r="J53" s="37">
        <f>K53+L53+M53</f>
        <v>3.353825984</v>
      </c>
      <c r="K53" s="38">
        <v>1.251489423</v>
      </c>
      <c r="L53" s="35">
        <v>0.011478098</v>
      </c>
      <c r="M53" s="38">
        <v>2.090858463</v>
      </c>
      <c r="N53" s="35">
        <f>F53+I53+K53+M53</f>
        <v>18.899928572</v>
      </c>
      <c r="O53" s="37">
        <v>0.417815424</v>
      </c>
      <c r="P53" s="35">
        <v>0</v>
      </c>
      <c r="Q53" s="35">
        <f>O53+P53</f>
        <v>0.417815424</v>
      </c>
      <c r="R53" s="35">
        <f>N53-Q53</f>
        <v>18.482113148</v>
      </c>
    </row>
    <row r="54" spans="1:18" ht="12.75">
      <c r="A54" s="7">
        <v>2007</v>
      </c>
      <c r="B54" s="37">
        <v>0</v>
      </c>
      <c r="C54" s="35">
        <v>0.553576952</v>
      </c>
      <c r="D54" s="35">
        <v>5.339672374</v>
      </c>
      <c r="E54" s="35">
        <f>F54+G54</f>
        <v>16.563549064</v>
      </c>
      <c r="F54" s="38">
        <v>16.507477189</v>
      </c>
      <c r="G54" s="38">
        <v>0.056071875</v>
      </c>
      <c r="H54" s="35">
        <v>1.558182234</v>
      </c>
      <c r="I54" s="38">
        <v>0.475643158</v>
      </c>
      <c r="J54" s="37">
        <f>K54+L54+M54</f>
        <v>3.8989754439999995</v>
      </c>
      <c r="K54" s="38">
        <v>1.276685957</v>
      </c>
      <c r="L54" s="35">
        <v>0.004684212</v>
      </c>
      <c r="M54" s="38">
        <v>2.617605275</v>
      </c>
      <c r="N54" s="35">
        <f>F54+I54+K54+M54</f>
        <v>20.877411579</v>
      </c>
      <c r="O54" s="37">
        <v>0.396654395</v>
      </c>
      <c r="P54" s="35">
        <v>2.738470043</v>
      </c>
      <c r="Q54" s="35">
        <f>O54+P54</f>
        <v>3.135124438</v>
      </c>
      <c r="R54" s="35">
        <f>N54-Q54</f>
        <v>17.742287141</v>
      </c>
    </row>
    <row r="55" spans="1:18" ht="12.75">
      <c r="A55" s="7">
        <v>2008</v>
      </c>
      <c r="B55" s="37">
        <v>5.519790335</v>
      </c>
      <c r="C55" s="35">
        <v>0.803739664</v>
      </c>
      <c r="D55" s="35">
        <v>7.580883025</v>
      </c>
      <c r="E55" s="35">
        <f>F55+G55</f>
        <v>13.791236307</v>
      </c>
      <c r="F55" s="38">
        <v>13.714740286</v>
      </c>
      <c r="G55" s="38">
        <v>0.076496021</v>
      </c>
      <c r="H55" s="35">
        <v>1.945702743</v>
      </c>
      <c r="I55" s="38">
        <v>1.047951155</v>
      </c>
      <c r="J55" s="37">
        <f>K55+L55+M55</f>
        <v>5.686663406</v>
      </c>
      <c r="K55" s="38">
        <v>1.483738496</v>
      </c>
      <c r="L55" s="35">
        <v>0.004264431</v>
      </c>
      <c r="M55" s="38">
        <v>4.198660479</v>
      </c>
      <c r="N55" s="35">
        <f>F55+I55+K55+M55</f>
        <v>20.445090416</v>
      </c>
      <c r="O55" s="35">
        <v>1.046495751</v>
      </c>
      <c r="P55" s="35">
        <v>17.316516589</v>
      </c>
      <c r="Q55" s="35">
        <f>O55+P55</f>
        <v>18.363012339999997</v>
      </c>
      <c r="R55" s="35">
        <f>N55-Q55</f>
        <v>2.082078076000002</v>
      </c>
    </row>
    <row r="56" spans="1:16" ht="12.75">
      <c r="A56" s="34" t="s">
        <v>125</v>
      </c>
      <c r="B56" s="28"/>
      <c r="C56" s="1"/>
      <c r="D56" s="1"/>
      <c r="E56" s="6"/>
      <c r="F56" s="1"/>
      <c r="G56" s="1"/>
      <c r="H56" s="6"/>
      <c r="I56" s="6"/>
      <c r="J56" s="1"/>
      <c r="K56" s="6"/>
      <c r="L56" s="1"/>
      <c r="M56" s="1"/>
      <c r="N56" s="1"/>
      <c r="O56" s="1"/>
      <c r="P56" s="1"/>
    </row>
    <row r="57" spans="1:16" ht="12.75">
      <c r="A57" s="7"/>
      <c r="B57" s="28"/>
      <c r="C57" s="1"/>
      <c r="D57" s="1"/>
      <c r="E57" s="6"/>
      <c r="F57" s="1"/>
      <c r="G57" s="1"/>
      <c r="H57" s="6"/>
      <c r="I57" s="6"/>
      <c r="J57" s="1"/>
      <c r="K57" s="6"/>
      <c r="L57" s="1"/>
      <c r="M57" s="1"/>
      <c r="N57" s="1"/>
      <c r="O57" s="1"/>
      <c r="P57" s="1"/>
    </row>
    <row r="58" spans="2:13" ht="12.75">
      <c r="B58" s="4" t="s">
        <v>255</v>
      </c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t="s">
        <v>112</v>
      </c>
      <c r="C59" t="s">
        <v>113</v>
      </c>
      <c r="D59" s="25" t="s">
        <v>129</v>
      </c>
      <c r="E59" t="s">
        <v>249</v>
      </c>
      <c r="G59" s="1"/>
      <c r="J59" s="1"/>
      <c r="K59" s="25" t="s">
        <v>128</v>
      </c>
      <c r="L59" s="1"/>
      <c r="M59" s="1"/>
    </row>
    <row r="60" spans="2:13" ht="12.75">
      <c r="B60" s="2" t="s">
        <v>44</v>
      </c>
      <c r="C60" s="2" t="s">
        <v>45</v>
      </c>
      <c r="D60" s="1" t="s">
        <v>130</v>
      </c>
      <c r="E60" s="2" t="s">
        <v>250</v>
      </c>
      <c r="F60" s="2" t="s">
        <v>251</v>
      </c>
      <c r="G60" s="1" t="s">
        <v>252</v>
      </c>
      <c r="H60" s="2" t="s">
        <v>253</v>
      </c>
      <c r="J60" s="1"/>
      <c r="K60" s="1" t="s">
        <v>127</v>
      </c>
      <c r="L60" s="1"/>
      <c r="M60" s="1"/>
    </row>
    <row r="61" spans="1:13" ht="12.75">
      <c r="A61" s="7">
        <v>2005</v>
      </c>
      <c r="B61" s="35">
        <v>6.957924543</v>
      </c>
      <c r="C61" s="35">
        <v>18.467022875</v>
      </c>
      <c r="D61" s="35">
        <f>C61+0.6*B61</f>
        <v>22.6417776008</v>
      </c>
      <c r="E61" s="35">
        <v>1.661</v>
      </c>
      <c r="F61" s="35">
        <v>2.79</v>
      </c>
      <c r="G61" s="35">
        <v>5.581</v>
      </c>
      <c r="H61" s="35">
        <f>(91+114+130+159+214+400)/1000</f>
        <v>1.108</v>
      </c>
      <c r="J61" s="1"/>
      <c r="K61" s="35">
        <v>2.394494657</v>
      </c>
      <c r="L61" s="1"/>
      <c r="M61" s="1"/>
    </row>
    <row r="62" spans="1:13" ht="12.75">
      <c r="A62" s="7">
        <v>2006</v>
      </c>
      <c r="B62" s="35">
        <v>7.366036815</v>
      </c>
      <c r="C62" s="35">
        <v>23.26773808</v>
      </c>
      <c r="D62" s="35">
        <f>C62+0.7*B62</f>
        <v>28.4239638505</v>
      </c>
      <c r="E62" s="35">
        <v>1.7</v>
      </c>
      <c r="F62" s="35">
        <v>3.018</v>
      </c>
      <c r="G62" s="35">
        <v>5.948</v>
      </c>
      <c r="H62" s="35">
        <f>(89+92+124+152+245+496)/1000</f>
        <v>1.198</v>
      </c>
      <c r="J62" s="1"/>
      <c r="K62" s="35">
        <v>2.195625724</v>
      </c>
      <c r="L62" s="1"/>
      <c r="M62" s="1"/>
    </row>
    <row r="63" spans="1:13" ht="12.75">
      <c r="A63" s="7">
        <v>2007</v>
      </c>
      <c r="B63" s="35">
        <v>7.387117976</v>
      </c>
      <c r="C63" s="35">
        <v>24.619751835</v>
      </c>
      <c r="D63" s="35">
        <f>C63+0.7*B63</f>
        <v>29.7907344182</v>
      </c>
      <c r="E63" s="35">
        <v>1.998</v>
      </c>
      <c r="F63" s="35">
        <v>3.549</v>
      </c>
      <c r="G63" s="35">
        <v>6.266</v>
      </c>
      <c r="H63" s="35">
        <f>(88+89+112+161+272+536)/1000</f>
        <v>1.258</v>
      </c>
      <c r="J63" s="1"/>
      <c r="K63" s="35">
        <v>2.689072624</v>
      </c>
      <c r="L63" s="1"/>
      <c r="M63" s="1"/>
    </row>
    <row r="64" spans="1:13" ht="12.75">
      <c r="A64" s="7">
        <v>2008</v>
      </c>
      <c r="B64" s="35">
        <v>7.361020256</v>
      </c>
      <c r="C64" s="35">
        <v>25.560756855</v>
      </c>
      <c r="D64" s="35">
        <f>C64+0.7*B64</f>
        <v>30.7134710342</v>
      </c>
      <c r="E64" s="35">
        <v>2.261</v>
      </c>
      <c r="F64" s="35">
        <v>3.913</v>
      </c>
      <c r="G64" s="35">
        <v>6.838</v>
      </c>
      <c r="H64" s="35">
        <f>(109+88+114+192+245+534)/1000</f>
        <v>1.282</v>
      </c>
      <c r="J64" s="1"/>
      <c r="K64" s="35">
        <v>2.8477543</v>
      </c>
      <c r="L64" s="1"/>
      <c r="M64" s="1"/>
    </row>
    <row r="65" spans="1:14" ht="12.75">
      <c r="A65" s="7"/>
      <c r="B65" s="35"/>
      <c r="C65" s="35"/>
      <c r="D65" s="35"/>
      <c r="E65" s="35"/>
      <c r="F65" s="35"/>
      <c r="G65" s="35"/>
      <c r="H65" s="35"/>
      <c r="I65" s="35"/>
      <c r="K65" s="1"/>
      <c r="L65" s="35"/>
      <c r="M65" s="1"/>
      <c r="N65" s="1"/>
    </row>
    <row r="66" spans="1:14" ht="12.75">
      <c r="A66" s="7"/>
      <c r="B66" s="4" t="s">
        <v>256</v>
      </c>
      <c r="C66" s="35"/>
      <c r="D66" s="35"/>
      <c r="E66" s="35"/>
      <c r="F66" s="35"/>
      <c r="G66" s="35"/>
      <c r="H66" s="35"/>
      <c r="I66" s="35"/>
      <c r="K66" s="1"/>
      <c r="L66" s="35"/>
      <c r="M66" s="1"/>
      <c r="N66" s="1"/>
    </row>
    <row r="67" spans="1:14" ht="12.75">
      <c r="A67" s="7"/>
      <c r="B67" t="s">
        <v>257</v>
      </c>
      <c r="C67" s="42" t="s">
        <v>261</v>
      </c>
      <c r="D67" s="35"/>
      <c r="E67" s="35"/>
      <c r="F67" s="42" t="s">
        <v>262</v>
      </c>
      <c r="G67" s="35"/>
      <c r="H67" s="35"/>
      <c r="I67" s="35"/>
      <c r="K67" s="1"/>
      <c r="L67" s="35"/>
      <c r="M67" s="1"/>
      <c r="N67" s="1"/>
    </row>
    <row r="68" spans="1:14" ht="12.75">
      <c r="A68" s="7"/>
      <c r="B68" s="2" t="s">
        <v>43</v>
      </c>
      <c r="C68" s="35" t="s">
        <v>258</v>
      </c>
      <c r="D68" s="35" t="s">
        <v>259</v>
      </c>
      <c r="E68" s="35" t="s">
        <v>260</v>
      </c>
      <c r="F68" s="35" t="s">
        <v>263</v>
      </c>
      <c r="G68" s="35" t="s">
        <v>264</v>
      </c>
      <c r="H68" s="35"/>
      <c r="I68" s="35"/>
      <c r="K68" s="1"/>
      <c r="L68" s="35"/>
      <c r="M68" s="1"/>
      <c r="N68" s="1"/>
    </row>
    <row r="69" spans="1:14" ht="12.75">
      <c r="A69" s="7">
        <v>2005</v>
      </c>
      <c r="B69" s="35">
        <v>12.170722179</v>
      </c>
      <c r="C69" s="35">
        <v>0.184</v>
      </c>
      <c r="D69" s="35">
        <v>0.962</v>
      </c>
      <c r="E69" s="35">
        <v>0</v>
      </c>
      <c r="F69" s="35">
        <f>1.343+0.355</f>
        <v>1.698</v>
      </c>
      <c r="G69" s="35">
        <v>0</v>
      </c>
      <c r="H69" s="35"/>
      <c r="I69" s="35"/>
      <c r="K69" s="1"/>
      <c r="L69" s="35"/>
      <c r="M69" s="1"/>
      <c r="N69" s="1"/>
    </row>
    <row r="70" spans="1:14" ht="12.75">
      <c r="A70" s="7">
        <v>2006</v>
      </c>
      <c r="B70" s="35">
        <v>14.30603655</v>
      </c>
      <c r="C70" s="35">
        <v>0.28</v>
      </c>
      <c r="D70" s="35">
        <v>1.006</v>
      </c>
      <c r="E70" s="35">
        <v>1.553</v>
      </c>
      <c r="F70" s="35">
        <f>1.227+0.283</f>
        <v>1.51</v>
      </c>
      <c r="G70" s="35">
        <f>0.949+0.161</f>
        <v>1.1099999999999999</v>
      </c>
      <c r="H70" s="35"/>
      <c r="I70" s="35"/>
      <c r="K70" s="1"/>
      <c r="L70" s="35"/>
      <c r="M70" s="1"/>
      <c r="N70" s="1"/>
    </row>
    <row r="71" spans="1:14" ht="12.75">
      <c r="A71" s="7">
        <v>2007</v>
      </c>
      <c r="B71" s="35">
        <v>15.575553007</v>
      </c>
      <c r="C71" s="35">
        <v>0.574</v>
      </c>
      <c r="D71" s="35">
        <v>0.958</v>
      </c>
      <c r="E71" s="35">
        <v>2.287</v>
      </c>
      <c r="F71" s="35">
        <f>1.211+0.254</f>
        <v>1.465</v>
      </c>
      <c r="G71" s="35">
        <f>1.049+0.191</f>
        <v>1.24</v>
      </c>
      <c r="H71" s="35"/>
      <c r="I71" s="35"/>
      <c r="K71" s="1"/>
      <c r="L71" s="35"/>
      <c r="M71" s="1"/>
      <c r="N71" s="1"/>
    </row>
    <row r="72" spans="1:14" ht="12.75">
      <c r="A72" s="7">
        <v>2008</v>
      </c>
      <c r="B72" s="35">
        <v>8.935057746</v>
      </c>
      <c r="C72" s="35">
        <v>0.174</v>
      </c>
      <c r="D72" s="35">
        <v>0.307</v>
      </c>
      <c r="E72" s="35">
        <v>2.02</v>
      </c>
      <c r="F72" s="35">
        <f>1.055+0.272</f>
        <v>1.327</v>
      </c>
      <c r="G72" s="35">
        <f>0.886+0.225</f>
        <v>1.111</v>
      </c>
      <c r="H72" s="35"/>
      <c r="I72" s="35"/>
      <c r="K72" s="1"/>
      <c r="L72" s="35"/>
      <c r="M72" s="1"/>
      <c r="N72" s="1"/>
    </row>
    <row r="73" spans="1:14" ht="12.75">
      <c r="A73" s="7"/>
      <c r="B73" s="35"/>
      <c r="C73" s="35"/>
      <c r="D73" s="35"/>
      <c r="E73" s="35"/>
      <c r="F73" s="35"/>
      <c r="G73" s="35"/>
      <c r="H73" s="35"/>
      <c r="I73" s="35"/>
      <c r="K73" s="1"/>
      <c r="L73" s="35"/>
      <c r="M73" s="1"/>
      <c r="N73" s="1"/>
    </row>
    <row r="74" spans="1:14" ht="12.75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ht="12.75">
      <c r="B75" s="4" t="s">
        <v>170</v>
      </c>
    </row>
    <row r="76" spans="2:25" ht="12.75">
      <c r="B76" s="43" t="s">
        <v>166</v>
      </c>
      <c r="C76" s="43"/>
      <c r="D76" s="43"/>
      <c r="E76" s="43" t="s">
        <v>167</v>
      </c>
      <c r="F76" s="43"/>
      <c r="G76" s="43"/>
      <c r="H76" s="43" t="s">
        <v>166</v>
      </c>
      <c r="I76" s="43"/>
      <c r="J76" s="43"/>
      <c r="K76" s="43" t="s">
        <v>167</v>
      </c>
      <c r="L76" s="43"/>
      <c r="M76" s="43"/>
      <c r="N76" s="43" t="s">
        <v>169</v>
      </c>
      <c r="O76" s="43"/>
      <c r="P76" s="43"/>
      <c r="Q76" s="43" t="s">
        <v>168</v>
      </c>
      <c r="R76" s="43"/>
      <c r="S76" s="43"/>
      <c r="T76" s="43" t="s">
        <v>165</v>
      </c>
      <c r="U76" s="43"/>
      <c r="V76" s="43"/>
      <c r="W76" s="43"/>
      <c r="X76" s="43"/>
      <c r="Y76" s="43"/>
    </row>
    <row r="77" spans="2:25" ht="12.75">
      <c r="B77" s="2" t="s">
        <v>141</v>
      </c>
      <c r="C77" s="2" t="s">
        <v>142</v>
      </c>
      <c r="D77" s="2" t="s">
        <v>143</v>
      </c>
      <c r="E77" s="2" t="s">
        <v>144</v>
      </c>
      <c r="F77" s="2" t="s">
        <v>145</v>
      </c>
      <c r="G77" s="2" t="s">
        <v>146</v>
      </c>
      <c r="H77" s="2" t="s">
        <v>147</v>
      </c>
      <c r="I77" s="2" t="s">
        <v>148</v>
      </c>
      <c r="J77" s="2" t="s">
        <v>149</v>
      </c>
      <c r="K77" s="2" t="s">
        <v>150</v>
      </c>
      <c r="L77" s="2" t="s">
        <v>151</v>
      </c>
      <c r="M77" s="2" t="s">
        <v>152</v>
      </c>
      <c r="N77" s="2" t="s">
        <v>153</v>
      </c>
      <c r="O77" s="2" t="s">
        <v>154</v>
      </c>
      <c r="P77" s="2" t="s">
        <v>155</v>
      </c>
      <c r="Q77" s="2" t="s">
        <v>156</v>
      </c>
      <c r="R77" s="2" t="s">
        <v>157</v>
      </c>
      <c r="S77" s="2" t="s">
        <v>158</v>
      </c>
      <c r="T77" s="2" t="s">
        <v>159</v>
      </c>
      <c r="U77" s="2" t="s">
        <v>160</v>
      </c>
      <c r="V77" s="2" t="s">
        <v>161</v>
      </c>
      <c r="W77" s="2" t="s">
        <v>162</v>
      </c>
      <c r="X77" s="2" t="s">
        <v>163</v>
      </c>
      <c r="Y77" s="2" t="s">
        <v>164</v>
      </c>
    </row>
    <row r="78" spans="1:34" ht="12.75">
      <c r="A78" s="7">
        <v>2005</v>
      </c>
      <c r="B78" s="35">
        <v>0.005893736</v>
      </c>
      <c r="C78" s="35">
        <v>0.000869904</v>
      </c>
      <c r="D78" s="35">
        <v>0</v>
      </c>
      <c r="E78" s="35">
        <v>0.814773276</v>
      </c>
      <c r="F78" s="35">
        <v>0.168011294</v>
      </c>
      <c r="G78" s="35">
        <v>0.000285499</v>
      </c>
      <c r="H78" s="35">
        <v>0.024269636</v>
      </c>
      <c r="I78" s="35">
        <v>0.006140496</v>
      </c>
      <c r="J78" s="35">
        <v>0</v>
      </c>
      <c r="K78" s="35">
        <v>3.993999588</v>
      </c>
      <c r="L78" s="35">
        <v>0.93003214</v>
      </c>
      <c r="M78" s="35">
        <v>0.002138741</v>
      </c>
      <c r="N78" s="35">
        <v>0.005291191</v>
      </c>
      <c r="O78" s="35">
        <v>0.001355945</v>
      </c>
      <c r="P78" s="35">
        <v>0</v>
      </c>
      <c r="Q78" s="35">
        <v>0.226583922</v>
      </c>
      <c r="R78" s="35">
        <v>0.035710599</v>
      </c>
      <c r="S78" s="35">
        <v>0.000169637</v>
      </c>
      <c r="T78" s="35">
        <v>0.385</v>
      </c>
      <c r="U78" s="35">
        <v>0.101</v>
      </c>
      <c r="V78" s="35">
        <v>0.001</v>
      </c>
      <c r="W78" s="35">
        <v>0.175</v>
      </c>
      <c r="X78" s="35">
        <v>0.048</v>
      </c>
      <c r="Y78" s="35">
        <v>0.001</v>
      </c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ht="12.75">
      <c r="A79" s="7">
        <v>2006</v>
      </c>
      <c r="B79" s="35">
        <v>0.00554394</v>
      </c>
      <c r="C79" s="35">
        <v>0.000741171</v>
      </c>
      <c r="D79" s="35">
        <v>0</v>
      </c>
      <c r="E79" s="35">
        <v>0.750076421</v>
      </c>
      <c r="F79" s="35">
        <v>0.146248768</v>
      </c>
      <c r="G79" s="35">
        <v>0.000187661</v>
      </c>
      <c r="H79" s="35">
        <v>0.025069621</v>
      </c>
      <c r="I79" s="35">
        <v>0.004368583</v>
      </c>
      <c r="J79" s="35">
        <v>0</v>
      </c>
      <c r="K79" s="35">
        <v>4.145248355</v>
      </c>
      <c r="L79" s="35">
        <v>1.002938667</v>
      </c>
      <c r="M79" s="35">
        <v>0.002230931</v>
      </c>
      <c r="N79" s="35">
        <v>0.005003476</v>
      </c>
      <c r="O79" s="35">
        <v>0.000944292</v>
      </c>
      <c r="P79" s="35">
        <v>0</v>
      </c>
      <c r="Q79" s="35">
        <v>0.14253707</v>
      </c>
      <c r="R79" s="35">
        <v>0.023225552</v>
      </c>
      <c r="S79" s="35">
        <v>6.7416E-05</v>
      </c>
      <c r="T79" s="35">
        <v>0.409</v>
      </c>
      <c r="U79" s="35">
        <v>0.109</v>
      </c>
      <c r="V79" s="35">
        <v>0.001</v>
      </c>
      <c r="W79" s="35">
        <v>0.163</v>
      </c>
      <c r="X79" s="35">
        <v>0.046</v>
      </c>
      <c r="Y79" s="35">
        <v>0.001</v>
      </c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ht="12.75">
      <c r="A80" s="7">
        <v>2007</v>
      </c>
      <c r="B80" s="35">
        <v>0.006047862</v>
      </c>
      <c r="C80" s="35">
        <v>0.000651016</v>
      </c>
      <c r="D80" s="35">
        <v>0</v>
      </c>
      <c r="E80" s="35">
        <v>0.829966843</v>
      </c>
      <c r="F80" s="35">
        <v>0.172117632</v>
      </c>
      <c r="G80" s="35">
        <v>0.000309141</v>
      </c>
      <c r="H80" s="35">
        <v>0.025069621</v>
      </c>
      <c r="I80" s="35">
        <v>0.004368583</v>
      </c>
      <c r="J80" s="35">
        <v>0</v>
      </c>
      <c r="K80" s="35">
        <v>4.805734558</v>
      </c>
      <c r="L80" s="35">
        <v>1.19654153</v>
      </c>
      <c r="M80" s="35">
        <v>0.002230931</v>
      </c>
      <c r="N80" s="35">
        <v>0.005003476</v>
      </c>
      <c r="O80" s="35">
        <v>0.000944292</v>
      </c>
      <c r="P80" s="35">
        <v>0</v>
      </c>
      <c r="Q80" s="35">
        <v>0.14253707</v>
      </c>
      <c r="R80" s="35">
        <v>0.023225552</v>
      </c>
      <c r="S80" s="35">
        <v>6.7416E-05</v>
      </c>
      <c r="T80" s="35">
        <v>0.368</v>
      </c>
      <c r="U80" s="35">
        <v>0.097</v>
      </c>
      <c r="V80" s="35">
        <v>0.001</v>
      </c>
      <c r="W80" s="35">
        <v>0.149</v>
      </c>
      <c r="X80" s="35">
        <v>0.048</v>
      </c>
      <c r="Y80" s="35">
        <v>0.001</v>
      </c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ht="12.75">
      <c r="A81" s="7">
        <v>2008</v>
      </c>
      <c r="B81" s="35">
        <v>0.006047862</v>
      </c>
      <c r="C81" s="35">
        <v>0.000651016</v>
      </c>
      <c r="D81" s="35">
        <v>0</v>
      </c>
      <c r="E81" s="35">
        <v>0.73570544</v>
      </c>
      <c r="F81" s="35">
        <v>0.149012226</v>
      </c>
      <c r="G81" s="35">
        <v>0.000309141</v>
      </c>
      <c r="H81" s="35">
        <v>0.025069621</v>
      </c>
      <c r="I81" s="35">
        <v>0.004368583</v>
      </c>
      <c r="J81" s="35">
        <v>0</v>
      </c>
      <c r="K81" s="35">
        <v>5.188611</v>
      </c>
      <c r="L81" s="35">
        <v>1.324702661</v>
      </c>
      <c r="M81" s="35">
        <v>0.002230931</v>
      </c>
      <c r="N81" s="35">
        <v>0.005003476</v>
      </c>
      <c r="O81" s="35">
        <v>0.000944292</v>
      </c>
      <c r="P81" s="35">
        <v>0</v>
      </c>
      <c r="Q81" s="35">
        <v>0.14253707</v>
      </c>
      <c r="R81" s="35">
        <v>0.023225552</v>
      </c>
      <c r="S81" s="35">
        <v>6.7416E-05</v>
      </c>
      <c r="T81" s="35">
        <v>0.451</v>
      </c>
      <c r="U81" s="35">
        <v>0.112</v>
      </c>
      <c r="V81" s="35">
        <v>0.001</v>
      </c>
      <c r="W81" s="35">
        <v>0.175</v>
      </c>
      <c r="X81" s="35">
        <v>0.048</v>
      </c>
      <c r="Y81" s="35">
        <v>0.001</v>
      </c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ht="12.75">
      <c r="A82" s="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ht="12.75">
      <c r="A83" s="7"/>
      <c r="B83" s="4" t="s">
        <v>171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46" ht="12.75">
      <c r="B84" s="43" t="s">
        <v>166</v>
      </c>
      <c r="C84" s="43"/>
      <c r="D84" s="43"/>
      <c r="E84" s="43" t="s">
        <v>167</v>
      </c>
      <c r="F84" s="43"/>
      <c r="G84" s="43"/>
      <c r="H84" s="43"/>
      <c r="I84" s="43"/>
      <c r="J84" s="43"/>
      <c r="K84" s="43" t="s">
        <v>166</v>
      </c>
      <c r="L84" s="43"/>
      <c r="M84" s="43"/>
      <c r="N84" s="46" t="s">
        <v>167</v>
      </c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 t="s">
        <v>169</v>
      </c>
      <c r="AA84" s="46"/>
      <c r="AB84" s="46"/>
      <c r="AC84" s="44" t="s">
        <v>168</v>
      </c>
      <c r="AD84" s="44"/>
      <c r="AE84" s="44"/>
      <c r="AF84" s="45"/>
      <c r="AG84" s="45"/>
      <c r="AH84" s="45"/>
      <c r="AI84" s="44" t="s">
        <v>165</v>
      </c>
      <c r="AJ84" s="44"/>
      <c r="AK84" s="44"/>
      <c r="AL84" s="44"/>
      <c r="AM84" s="44"/>
      <c r="AN84" s="44"/>
      <c r="AO84" s="44"/>
      <c r="AP84" s="44"/>
      <c r="AQ84" s="44"/>
      <c r="AR84" s="45"/>
      <c r="AS84" s="45"/>
      <c r="AT84" s="45"/>
    </row>
    <row r="85" spans="2:46" ht="12.75">
      <c r="B85" s="35" t="s">
        <v>172</v>
      </c>
      <c r="C85" s="35" t="s">
        <v>173</v>
      </c>
      <c r="D85" s="35" t="s">
        <v>174</v>
      </c>
      <c r="E85" s="35" t="s">
        <v>175</v>
      </c>
      <c r="F85" s="35" t="s">
        <v>176</v>
      </c>
      <c r="G85" s="35" t="s">
        <v>177</v>
      </c>
      <c r="H85" s="35" t="s">
        <v>178</v>
      </c>
      <c r="I85" s="35" t="s">
        <v>179</v>
      </c>
      <c r="J85" s="35" t="s">
        <v>180</v>
      </c>
      <c r="K85" s="35" t="s">
        <v>181</v>
      </c>
      <c r="L85" s="35" t="s">
        <v>182</v>
      </c>
      <c r="M85" s="35" t="s">
        <v>183</v>
      </c>
      <c r="N85" s="35" t="s">
        <v>184</v>
      </c>
      <c r="O85" s="35" t="s">
        <v>185</v>
      </c>
      <c r="P85" s="35" t="s">
        <v>186</v>
      </c>
      <c r="Q85" s="35" t="s">
        <v>187</v>
      </c>
      <c r="R85" s="35" t="s">
        <v>188</v>
      </c>
      <c r="S85" s="35" t="s">
        <v>189</v>
      </c>
      <c r="T85" s="35" t="s">
        <v>190</v>
      </c>
      <c r="U85" s="35" t="s">
        <v>191</v>
      </c>
      <c r="V85" s="35" t="s">
        <v>192</v>
      </c>
      <c r="W85" s="35" t="s">
        <v>193</v>
      </c>
      <c r="X85" s="35" t="s">
        <v>194</v>
      </c>
      <c r="Y85" s="35" t="s">
        <v>195</v>
      </c>
      <c r="Z85" s="35" t="s">
        <v>196</v>
      </c>
      <c r="AA85" s="35" t="s">
        <v>197</v>
      </c>
      <c r="AB85" s="35" t="s">
        <v>198</v>
      </c>
      <c r="AC85" s="35" t="s">
        <v>199</v>
      </c>
      <c r="AD85" s="35" t="s">
        <v>200</v>
      </c>
      <c r="AE85" s="35" t="s">
        <v>201</v>
      </c>
      <c r="AF85" s="35" t="s">
        <v>202</v>
      </c>
      <c r="AG85" s="35" t="s">
        <v>203</v>
      </c>
      <c r="AH85" s="35" t="s">
        <v>204</v>
      </c>
      <c r="AI85" s="35" t="s">
        <v>205</v>
      </c>
      <c r="AJ85" s="35" t="s">
        <v>206</v>
      </c>
      <c r="AK85" s="35" t="s">
        <v>207</v>
      </c>
      <c r="AL85" s="35" t="s">
        <v>208</v>
      </c>
      <c r="AM85" s="35" t="s">
        <v>209</v>
      </c>
      <c r="AN85" s="35" t="s">
        <v>210</v>
      </c>
      <c r="AO85" s="35" t="s">
        <v>211</v>
      </c>
      <c r="AP85" s="35" t="s">
        <v>212</v>
      </c>
      <c r="AQ85" s="35" t="s">
        <v>213</v>
      </c>
      <c r="AR85" s="35" t="s">
        <v>214</v>
      </c>
      <c r="AS85" s="35" t="s">
        <v>215</v>
      </c>
      <c r="AT85" s="35" t="s">
        <v>216</v>
      </c>
    </row>
    <row r="86" spans="1:46" ht="12.75">
      <c r="A86" s="7">
        <v>2005</v>
      </c>
      <c r="B86" s="35">
        <v>0.085830491</v>
      </c>
      <c r="C86" s="35">
        <v>0.009418208</v>
      </c>
      <c r="D86" s="35">
        <v>0.000160254</v>
      </c>
      <c r="E86" s="35">
        <v>1.742421107</v>
      </c>
      <c r="F86" s="35">
        <v>0.26368061</v>
      </c>
      <c r="G86" s="35">
        <v>0.00081538</v>
      </c>
      <c r="H86" s="35">
        <v>0.866231403</v>
      </c>
      <c r="I86" s="35">
        <v>0.121450628</v>
      </c>
      <c r="J86" s="35">
        <v>0.000380162</v>
      </c>
      <c r="K86" s="35">
        <v>0.79939617</v>
      </c>
      <c r="L86" s="35">
        <v>0.123598458</v>
      </c>
      <c r="M86" s="35">
        <v>0.000580985</v>
      </c>
      <c r="N86" s="35">
        <v>4.607415075</v>
      </c>
      <c r="O86" s="35">
        <v>1.173880037</v>
      </c>
      <c r="P86" s="35">
        <v>0.001838222</v>
      </c>
      <c r="Q86" s="35">
        <v>9.641200078</v>
      </c>
      <c r="R86" s="35">
        <v>1.267531233</v>
      </c>
      <c r="S86" s="35">
        <v>0.001468781</v>
      </c>
      <c r="T86" s="35">
        <v>1.275442948</v>
      </c>
      <c r="U86" s="35">
        <v>0.16518767</v>
      </c>
      <c r="V86" s="35">
        <v>0.001372363</v>
      </c>
      <c r="W86" s="35">
        <v>0.11547372</v>
      </c>
      <c r="X86" s="35">
        <v>0.018860395</v>
      </c>
      <c r="Y86" s="35">
        <v>0.000203702</v>
      </c>
      <c r="Z86" s="35">
        <v>0.429168905</v>
      </c>
      <c r="AA86" s="35">
        <v>0.041169044</v>
      </c>
      <c r="AB86" s="35">
        <v>0.00035179</v>
      </c>
      <c r="AC86" s="35">
        <v>0.415827975</v>
      </c>
      <c r="AD86" s="35">
        <v>0.045119188</v>
      </c>
      <c r="AE86" s="35">
        <v>0.000201839</v>
      </c>
      <c r="AF86" s="35">
        <v>2.421011191</v>
      </c>
      <c r="AG86" s="35">
        <v>0.2278734</v>
      </c>
      <c r="AH86" s="35">
        <v>0.000705915</v>
      </c>
      <c r="AI86" s="35">
        <v>0.151</v>
      </c>
      <c r="AJ86" s="35">
        <v>0.031</v>
      </c>
      <c r="AK86" s="35">
        <v>0</v>
      </c>
      <c r="AL86" s="35">
        <v>0.276</v>
      </c>
      <c r="AM86" s="35">
        <v>0.054</v>
      </c>
      <c r="AN86" s="35">
        <v>0</v>
      </c>
      <c r="AO86" s="35">
        <v>0.188</v>
      </c>
      <c r="AP86" s="35">
        <v>0.032</v>
      </c>
      <c r="AQ86" s="35">
        <v>0</v>
      </c>
      <c r="AR86" s="35">
        <v>0.566</v>
      </c>
      <c r="AS86" s="35">
        <v>0.131</v>
      </c>
      <c r="AT86" s="35">
        <v>0.001</v>
      </c>
    </row>
    <row r="87" spans="1:46" ht="12.75">
      <c r="A87" s="7">
        <v>2006</v>
      </c>
      <c r="B87" s="35">
        <v>0.077133415</v>
      </c>
      <c r="C87" s="35">
        <v>0.00827705</v>
      </c>
      <c r="D87" s="35">
        <v>0.000116945</v>
      </c>
      <c r="E87" s="35">
        <v>1.823812977</v>
      </c>
      <c r="F87" s="35">
        <v>0.275720697</v>
      </c>
      <c r="G87" s="35">
        <v>0.000476743</v>
      </c>
      <c r="H87" s="35">
        <v>0.924958501</v>
      </c>
      <c r="I87" s="35">
        <v>0.13232115</v>
      </c>
      <c r="J87" s="35">
        <v>0.000441515</v>
      </c>
      <c r="K87" s="35">
        <v>0.968722749</v>
      </c>
      <c r="L87" s="35">
        <v>0.209093605</v>
      </c>
      <c r="M87" s="35">
        <v>0.000136562</v>
      </c>
      <c r="N87" s="35">
        <v>4.518629023</v>
      </c>
      <c r="O87" s="35">
        <v>1.171726896</v>
      </c>
      <c r="P87" s="35">
        <v>0.001238648</v>
      </c>
      <c r="Q87" s="35">
        <v>9.626804505</v>
      </c>
      <c r="R87" s="35">
        <v>1.260660114</v>
      </c>
      <c r="S87" s="35">
        <f>0.001077594</f>
        <v>0.001077594</v>
      </c>
      <c r="T87" s="35">
        <v>1.439774579</v>
      </c>
      <c r="U87" s="35">
        <v>0.195105375</v>
      </c>
      <c r="V87" s="35">
        <v>0.001724405</v>
      </c>
      <c r="W87" s="35">
        <v>0.1142221</v>
      </c>
      <c r="X87" s="35">
        <v>0.019014585</v>
      </c>
      <c r="Y87" s="35">
        <v>0.000198132</v>
      </c>
      <c r="Z87" s="35">
        <v>0.450817735</v>
      </c>
      <c r="AA87" s="35">
        <v>0.041544293</v>
      </c>
      <c r="AB87" s="35">
        <v>0.000182764</v>
      </c>
      <c r="AC87" s="35">
        <v>0.380574554</v>
      </c>
      <c r="AD87" s="35">
        <v>0.048317972</v>
      </c>
      <c r="AE87" s="35">
        <v>0.000187014</v>
      </c>
      <c r="AF87" s="35">
        <v>2.346533234</v>
      </c>
      <c r="AG87" s="35">
        <v>0.218211994</v>
      </c>
      <c r="AH87" s="35">
        <v>0.000786049</v>
      </c>
      <c r="AI87" s="35">
        <v>0.151</v>
      </c>
      <c r="AJ87" s="35">
        <v>0.031</v>
      </c>
      <c r="AK87" s="35">
        <v>0</v>
      </c>
      <c r="AL87" s="35">
        <v>0.276</v>
      </c>
      <c r="AM87" s="35">
        <v>0.054</v>
      </c>
      <c r="AN87" s="35">
        <v>0</v>
      </c>
      <c r="AO87" s="35">
        <v>0.188</v>
      </c>
      <c r="AP87" s="35">
        <v>0.032</v>
      </c>
      <c r="AQ87" s="35">
        <v>0</v>
      </c>
      <c r="AR87" s="35">
        <v>0.566</v>
      </c>
      <c r="AS87" s="35">
        <v>0.131</v>
      </c>
      <c r="AT87" s="35">
        <v>0.001</v>
      </c>
    </row>
    <row r="88" spans="1:46" ht="12.75">
      <c r="A88" s="7">
        <v>2007</v>
      </c>
      <c r="B88" s="35">
        <v>0.077133415</v>
      </c>
      <c r="C88" s="35">
        <v>0.00827705</v>
      </c>
      <c r="D88" s="35">
        <v>0.000116945</v>
      </c>
      <c r="E88" s="35">
        <v>1.881603333</v>
      </c>
      <c r="F88" s="35">
        <v>0.280549944</v>
      </c>
      <c r="G88" s="35">
        <v>0.000476743</v>
      </c>
      <c r="H88" s="35">
        <v>0.987386064</v>
      </c>
      <c r="I88" s="35">
        <v>0.141862385</v>
      </c>
      <c r="J88" s="35">
        <v>0.000441515</v>
      </c>
      <c r="K88" s="35">
        <v>0.990687814</v>
      </c>
      <c r="L88" s="35">
        <v>0.209093605</v>
      </c>
      <c r="M88" s="35">
        <v>0.000136562</v>
      </c>
      <c r="N88" s="35">
        <v>4.555864916</v>
      </c>
      <c r="O88" s="35">
        <v>1.154832849</v>
      </c>
      <c r="P88" s="35">
        <v>0.001238648</v>
      </c>
      <c r="Q88" s="35">
        <v>9.939690397</v>
      </c>
      <c r="R88" s="35">
        <v>1.2696894</v>
      </c>
      <c r="S88" s="35">
        <f>0.001077594</f>
        <v>0.001077594</v>
      </c>
      <c r="T88" s="35">
        <v>1.439774579</v>
      </c>
      <c r="U88" s="35">
        <v>0.195105375</v>
      </c>
      <c r="V88" s="35">
        <v>0.001724405</v>
      </c>
      <c r="W88" s="35">
        <v>0.1142221</v>
      </c>
      <c r="X88" s="35">
        <v>0.019014585</v>
      </c>
      <c r="Y88" s="35">
        <v>0.000198132</v>
      </c>
      <c r="Z88" s="35">
        <v>0.450817735</v>
      </c>
      <c r="AA88" s="35">
        <v>0.041544293</v>
      </c>
      <c r="AB88" s="35">
        <v>0.000182764</v>
      </c>
      <c r="AC88" s="35">
        <v>0.380574554</v>
      </c>
      <c r="AD88" s="35">
        <v>0.048317972</v>
      </c>
      <c r="AE88" s="35">
        <v>0.000187014</v>
      </c>
      <c r="AF88" s="35">
        <v>1.99566853</v>
      </c>
      <c r="AG88" s="35">
        <v>0.218211994</v>
      </c>
      <c r="AH88" s="35">
        <v>0.000786049</v>
      </c>
      <c r="AI88" s="35">
        <v>0.172</v>
      </c>
      <c r="AJ88" s="35">
        <v>0.032</v>
      </c>
      <c r="AK88" s="35">
        <v>0</v>
      </c>
      <c r="AL88" s="35">
        <v>0.363</v>
      </c>
      <c r="AM88" s="35">
        <v>0.068</v>
      </c>
      <c r="AN88" s="35">
        <v>0</v>
      </c>
      <c r="AO88" s="35">
        <v>0.165</v>
      </c>
      <c r="AP88" s="35">
        <v>0.031</v>
      </c>
      <c r="AQ88" s="35">
        <v>0</v>
      </c>
      <c r="AR88" s="35">
        <v>0.543</v>
      </c>
      <c r="AS88" s="35">
        <v>0.129</v>
      </c>
      <c r="AT88" s="35">
        <v>0.001</v>
      </c>
    </row>
    <row r="89" spans="1:46" ht="12.75">
      <c r="A89" s="7">
        <v>2008</v>
      </c>
      <c r="B89" s="35">
        <v>0.077133415</v>
      </c>
      <c r="C89" s="35">
        <v>0.00827705</v>
      </c>
      <c r="D89" s="35">
        <v>0.000116945</v>
      </c>
      <c r="E89" s="35">
        <v>1.879457</v>
      </c>
      <c r="F89" s="35">
        <v>0.280549944</v>
      </c>
      <c r="G89" s="35">
        <v>0.000476743</v>
      </c>
      <c r="H89" s="35">
        <v>1.038087</v>
      </c>
      <c r="I89" s="35">
        <v>0.141862385</v>
      </c>
      <c r="J89" s="35">
        <v>0.000441515</v>
      </c>
      <c r="K89" s="35">
        <v>0.878491</v>
      </c>
      <c r="L89" s="35">
        <v>0.209093605</v>
      </c>
      <c r="M89" s="35">
        <v>0.000136562</v>
      </c>
      <c r="N89" s="35">
        <v>4.172829</v>
      </c>
      <c r="O89" s="35">
        <v>1.072097</v>
      </c>
      <c r="P89" s="35">
        <v>0.001238648</v>
      </c>
      <c r="Q89" s="35">
        <v>9.347883</v>
      </c>
      <c r="R89" s="35">
        <v>1.210431</v>
      </c>
      <c r="S89" s="35">
        <f>0.001077594</f>
        <v>0.001077594</v>
      </c>
      <c r="T89" s="35">
        <v>1.439774579</v>
      </c>
      <c r="U89" s="35">
        <v>0.195105375</v>
      </c>
      <c r="V89" s="35">
        <v>0.001724405</v>
      </c>
      <c r="W89" s="35">
        <v>0.1142221</v>
      </c>
      <c r="X89" s="35">
        <v>0.019014585</v>
      </c>
      <c r="Y89" s="35">
        <v>0.000198132</v>
      </c>
      <c r="Z89" s="35">
        <v>0.450817735</v>
      </c>
      <c r="AA89" s="35">
        <v>0.041544293</v>
      </c>
      <c r="AB89" s="35">
        <v>0.000182764</v>
      </c>
      <c r="AC89" s="35">
        <v>0.380574554</v>
      </c>
      <c r="AD89" s="35">
        <v>0.048317972</v>
      </c>
      <c r="AE89" s="35">
        <v>0.000187014</v>
      </c>
      <c r="AF89" s="35">
        <v>1.99566853</v>
      </c>
      <c r="AG89" s="35">
        <v>0.218211994</v>
      </c>
      <c r="AH89" s="35">
        <v>0.000786049</v>
      </c>
      <c r="AI89" s="35">
        <v>0.172</v>
      </c>
      <c r="AJ89" s="35">
        <v>0.032</v>
      </c>
      <c r="AK89" s="35">
        <v>0</v>
      </c>
      <c r="AL89" s="35">
        <v>0.363</v>
      </c>
      <c r="AM89" s="35">
        <v>0.068</v>
      </c>
      <c r="AN89" s="35">
        <v>0</v>
      </c>
      <c r="AO89" s="35">
        <v>0.165</v>
      </c>
      <c r="AP89" s="35">
        <v>0.031</v>
      </c>
      <c r="AQ89" s="35">
        <v>0</v>
      </c>
      <c r="AR89" s="35">
        <v>0.543</v>
      </c>
      <c r="AS89" s="35">
        <v>0.129</v>
      </c>
      <c r="AT89" s="35">
        <v>0.001</v>
      </c>
    </row>
    <row r="90" spans="2:34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2.75">
      <c r="B91" s="4" t="s">
        <v>217</v>
      </c>
      <c r="C91" s="35"/>
      <c r="D91" s="35"/>
      <c r="E91" s="35"/>
      <c r="F91" s="35"/>
      <c r="G91" s="35"/>
      <c r="H91" s="35"/>
      <c r="I91" s="35"/>
      <c r="J91" s="35"/>
      <c r="K91" s="35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2.75">
      <c r="B92" s="43" t="s">
        <v>166</v>
      </c>
      <c r="C92" s="43"/>
      <c r="D92" s="43"/>
      <c r="E92" s="43" t="s">
        <v>167</v>
      </c>
      <c r="F92" s="43"/>
      <c r="G92" s="43"/>
      <c r="H92" s="43" t="s">
        <v>166</v>
      </c>
      <c r="I92" s="43"/>
      <c r="J92" s="43"/>
      <c r="K92" s="43" t="s">
        <v>167</v>
      </c>
      <c r="L92" s="43"/>
      <c r="M92" s="43"/>
      <c r="N92" s="46" t="s">
        <v>169</v>
      </c>
      <c r="O92" s="46"/>
      <c r="P92" s="46"/>
      <c r="Q92" s="46" t="s">
        <v>168</v>
      </c>
      <c r="R92" s="46"/>
      <c r="S92" s="46"/>
      <c r="T92" s="43" t="s">
        <v>165</v>
      </c>
      <c r="U92" s="43"/>
      <c r="V92" s="43"/>
      <c r="W92" s="43"/>
      <c r="X92" s="43"/>
      <c r="Y92" s="43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2.75">
      <c r="B93" s="35" t="s">
        <v>218</v>
      </c>
      <c r="C93" s="35" t="s">
        <v>219</v>
      </c>
      <c r="D93" s="35" t="s">
        <v>220</v>
      </c>
      <c r="E93" s="35" t="s">
        <v>221</v>
      </c>
      <c r="F93" s="35" t="s">
        <v>222</v>
      </c>
      <c r="G93" s="35" t="s">
        <v>223</v>
      </c>
      <c r="H93" s="35" t="s">
        <v>224</v>
      </c>
      <c r="I93" s="35" t="s">
        <v>225</v>
      </c>
      <c r="J93" s="35" t="s">
        <v>226</v>
      </c>
      <c r="K93" s="35" t="s">
        <v>227</v>
      </c>
      <c r="L93" s="35" t="s">
        <v>228</v>
      </c>
      <c r="M93" s="35" t="s">
        <v>229</v>
      </c>
      <c r="N93" s="35" t="s">
        <v>230</v>
      </c>
      <c r="O93" s="35" t="s">
        <v>231</v>
      </c>
      <c r="P93" s="35" t="s">
        <v>232</v>
      </c>
      <c r="Q93" s="35" t="s">
        <v>233</v>
      </c>
      <c r="R93" s="35" t="s">
        <v>234</v>
      </c>
      <c r="S93" s="35" t="s">
        <v>235</v>
      </c>
      <c r="T93" s="35" t="s">
        <v>238</v>
      </c>
      <c r="U93" s="35" t="s">
        <v>236</v>
      </c>
      <c r="V93" s="35" t="s">
        <v>237</v>
      </c>
      <c r="W93" s="35" t="s">
        <v>239</v>
      </c>
      <c r="X93" s="35" t="s">
        <v>240</v>
      </c>
      <c r="Y93" s="35" t="s">
        <v>241</v>
      </c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34" ht="12.75">
      <c r="A94" s="7">
        <v>2005</v>
      </c>
      <c r="B94" s="35">
        <v>0.037902696</v>
      </c>
      <c r="C94" s="35">
        <v>0.005965771</v>
      </c>
      <c r="D94" s="35">
        <v>0.000140474</v>
      </c>
      <c r="E94" s="35">
        <v>1.038417849</v>
      </c>
      <c r="F94" s="35">
        <v>0.188312375</v>
      </c>
      <c r="G94" s="35">
        <v>0.001797257</v>
      </c>
      <c r="H94" s="35">
        <v>0.301658746</v>
      </c>
      <c r="I94" s="35">
        <v>0.050481545</v>
      </c>
      <c r="J94" s="35">
        <v>0</v>
      </c>
      <c r="K94" s="35">
        <v>21.71814544</v>
      </c>
      <c r="L94" s="35">
        <v>3.798974278</v>
      </c>
      <c r="M94" s="35">
        <v>0.001210445</v>
      </c>
      <c r="N94" s="35">
        <v>0.056598064</v>
      </c>
      <c r="O94" s="35">
        <v>0.010317852</v>
      </c>
      <c r="P94" s="35">
        <v>0</v>
      </c>
      <c r="Q94" s="35">
        <v>1.493502586</v>
      </c>
      <c r="R94" s="35">
        <v>0.214069726</v>
      </c>
      <c r="S94" s="35">
        <v>0.000388595</v>
      </c>
      <c r="T94" s="35">
        <v>0.107</v>
      </c>
      <c r="U94" s="35">
        <v>0.016</v>
      </c>
      <c r="V94" s="35">
        <v>0</v>
      </c>
      <c r="W94" s="35">
        <v>0.09</v>
      </c>
      <c r="X94" s="35">
        <v>0.016</v>
      </c>
      <c r="Y94" s="35">
        <v>0</v>
      </c>
      <c r="Z94" s="36"/>
      <c r="AA94" s="36"/>
      <c r="AB94" s="36"/>
      <c r="AC94" s="36"/>
      <c r="AD94" s="36"/>
      <c r="AE94" s="36"/>
      <c r="AF94" s="36"/>
      <c r="AG94" s="36"/>
      <c r="AH94" s="36"/>
    </row>
    <row r="95" spans="1:34" ht="12.75">
      <c r="A95" s="7">
        <v>2006</v>
      </c>
      <c r="B95" s="35">
        <v>0.042212949</v>
      </c>
      <c r="C95" s="35">
        <v>0.00746906</v>
      </c>
      <c r="D95" s="35">
        <v>0.000135098</v>
      </c>
      <c r="E95" s="35">
        <v>1.063364103</v>
      </c>
      <c r="F95" s="35">
        <v>0.193560243</v>
      </c>
      <c r="G95" s="35">
        <v>0.0029592</v>
      </c>
      <c r="H95" s="35">
        <v>0.402591152</v>
      </c>
      <c r="I95" s="35">
        <v>0.064449648</v>
      </c>
      <c r="J95" s="35">
        <v>0</v>
      </c>
      <c r="K95" s="35">
        <v>22.452816706</v>
      </c>
      <c r="L95" s="35">
        <v>3.994470524</v>
      </c>
      <c r="M95" s="35">
        <v>0.00078109</v>
      </c>
      <c r="N95" s="35">
        <v>0.062452572</v>
      </c>
      <c r="O95" s="35">
        <v>0.010818029</v>
      </c>
      <c r="P95" s="35">
        <v>0</v>
      </c>
      <c r="Q95" s="35">
        <v>1.2047438</v>
      </c>
      <c r="R95" s="35">
        <v>0.180251722</v>
      </c>
      <c r="S95" s="35">
        <v>0.000334752</v>
      </c>
      <c r="T95" s="35">
        <v>0.107</v>
      </c>
      <c r="U95" s="35">
        <v>0.016</v>
      </c>
      <c r="V95" s="35">
        <v>0</v>
      </c>
      <c r="W95" s="35">
        <v>0.09</v>
      </c>
      <c r="X95" s="35">
        <v>0.016</v>
      </c>
      <c r="Y95" s="35">
        <v>0</v>
      </c>
      <c r="Z95" s="35"/>
      <c r="AA95" s="35"/>
      <c r="AB95" s="35"/>
      <c r="AC95" s="35"/>
      <c r="AD95" s="35"/>
      <c r="AE95" s="35"/>
      <c r="AF95" s="35"/>
      <c r="AG95" s="35"/>
      <c r="AH95" s="35"/>
    </row>
    <row r="96" spans="1:34" ht="12.75">
      <c r="A96" s="7">
        <v>2007</v>
      </c>
      <c r="B96" s="35">
        <v>0.042212949</v>
      </c>
      <c r="C96" s="35">
        <v>0.00746906</v>
      </c>
      <c r="D96" s="35">
        <v>0.000135098</v>
      </c>
      <c r="E96" s="35">
        <v>1.107174874</v>
      </c>
      <c r="F96" s="35">
        <v>0.19947206</v>
      </c>
      <c r="G96" s="35">
        <v>0.0029592</v>
      </c>
      <c r="H96" s="35">
        <v>0.402591152</v>
      </c>
      <c r="I96" s="35">
        <v>0.064449648</v>
      </c>
      <c r="J96" s="35">
        <v>0</v>
      </c>
      <c r="K96" s="35">
        <v>23.946413048</v>
      </c>
      <c r="L96" s="35">
        <v>4.405549839</v>
      </c>
      <c r="M96" s="35">
        <v>0.00078109</v>
      </c>
      <c r="N96" s="35">
        <v>0.062452572</v>
      </c>
      <c r="O96" s="35">
        <v>0.010818029</v>
      </c>
      <c r="P96" s="35">
        <v>0</v>
      </c>
      <c r="Q96" s="35">
        <v>1.007312289</v>
      </c>
      <c r="R96" s="35">
        <v>0.180251722</v>
      </c>
      <c r="S96" s="35">
        <v>0.000334752</v>
      </c>
      <c r="T96" s="35">
        <v>0.107</v>
      </c>
      <c r="U96" s="35">
        <v>0.016</v>
      </c>
      <c r="V96" s="35">
        <v>0</v>
      </c>
      <c r="W96" s="35">
        <v>0.09</v>
      </c>
      <c r="X96" s="35">
        <v>0.016</v>
      </c>
      <c r="Y96" s="35">
        <v>0</v>
      </c>
      <c r="Z96" s="35"/>
      <c r="AA96" s="35"/>
      <c r="AB96" s="35"/>
      <c r="AC96" s="35"/>
      <c r="AD96" s="35"/>
      <c r="AE96" s="35"/>
      <c r="AF96" s="35"/>
      <c r="AG96" s="35"/>
      <c r="AH96" s="35"/>
    </row>
    <row r="97" spans="1:34" ht="12.75">
      <c r="A97" s="7">
        <v>2008</v>
      </c>
      <c r="B97" s="35">
        <v>0.042212949</v>
      </c>
      <c r="C97" s="35">
        <v>0.00746906</v>
      </c>
      <c r="D97" s="35">
        <v>0.000135098</v>
      </c>
      <c r="E97" s="35">
        <v>1.171172</v>
      </c>
      <c r="F97" s="35">
        <v>0.19947206</v>
      </c>
      <c r="G97" s="35">
        <v>0.0029592</v>
      </c>
      <c r="H97" s="35">
        <v>0.402591152</v>
      </c>
      <c r="I97" s="35">
        <v>0.064449648</v>
      </c>
      <c r="J97" s="35">
        <v>0</v>
      </c>
      <c r="K97" s="35">
        <v>23.616706</v>
      </c>
      <c r="L97" s="35">
        <v>4.613222</v>
      </c>
      <c r="M97" s="35">
        <v>0.00078109</v>
      </c>
      <c r="N97" s="35">
        <v>0.062452572</v>
      </c>
      <c r="O97" s="35">
        <v>0.010818029</v>
      </c>
      <c r="P97" s="35">
        <v>0</v>
      </c>
      <c r="Q97" s="35">
        <v>1.007312289</v>
      </c>
      <c r="R97" s="35">
        <v>0.180251722</v>
      </c>
      <c r="S97" s="35">
        <v>0.000334752</v>
      </c>
      <c r="T97" s="35">
        <v>0.107</v>
      </c>
      <c r="U97" s="35">
        <v>0.016</v>
      </c>
      <c r="V97" s="35">
        <v>0</v>
      </c>
      <c r="W97" s="35">
        <v>0.09</v>
      </c>
      <c r="X97" s="35">
        <v>0.016</v>
      </c>
      <c r="Y97" s="35">
        <v>0</v>
      </c>
      <c r="Z97" s="35"/>
      <c r="AA97" s="35"/>
      <c r="AB97" s="35"/>
      <c r="AC97" s="35"/>
      <c r="AD97" s="35"/>
      <c r="AE97" s="35"/>
      <c r="AF97" s="35"/>
      <c r="AG97" s="35"/>
      <c r="AH97" s="35"/>
    </row>
    <row r="98" spans="1:34" ht="12.75">
      <c r="A98" s="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  <row r="99" spans="2:34" ht="12.75">
      <c r="B99" s="4" t="s">
        <v>68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ht="12.75">
      <c r="B100" t="s">
        <v>69</v>
      </c>
      <c r="E100" t="s">
        <v>70</v>
      </c>
      <c r="H100" t="s">
        <v>71</v>
      </c>
      <c r="I100" s="1"/>
      <c r="J100" s="1"/>
      <c r="K100" s="25" t="s">
        <v>75</v>
      </c>
      <c r="L100" s="1"/>
      <c r="M100" s="1"/>
      <c r="N100" s="1"/>
      <c r="O100" s="25" t="s">
        <v>80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ht="12.75">
      <c r="B101" t="s">
        <v>72</v>
      </c>
      <c r="C101" t="s">
        <v>73</v>
      </c>
      <c r="D101" t="s">
        <v>74</v>
      </c>
      <c r="E101" t="s">
        <v>72</v>
      </c>
      <c r="F101" t="s">
        <v>73</v>
      </c>
      <c r="G101" t="s">
        <v>74</v>
      </c>
      <c r="H101" t="s">
        <v>72</v>
      </c>
      <c r="I101" t="s">
        <v>73</v>
      </c>
      <c r="J101" t="s">
        <v>74</v>
      </c>
      <c r="K101" s="1" t="s">
        <v>76</v>
      </c>
      <c r="L101" s="1" t="s">
        <v>77</v>
      </c>
      <c r="M101" s="1" t="s">
        <v>78</v>
      </c>
      <c r="N101" s="1" t="s">
        <v>79</v>
      </c>
      <c r="O101" s="1" t="s">
        <v>81</v>
      </c>
      <c r="P101" s="1" t="s">
        <v>82</v>
      </c>
      <c r="Q101" s="1" t="s">
        <v>83</v>
      </c>
      <c r="R101" s="1" t="s">
        <v>79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s="7">
        <v>2005</v>
      </c>
      <c r="B102" s="3">
        <f>241.341+219.387+27.776</f>
        <v>488.504</v>
      </c>
      <c r="C102" s="3">
        <f>59.15+65.502+5.784</f>
        <v>130.43599999999998</v>
      </c>
      <c r="D102" s="3">
        <f>0.171+0.28+0.42</f>
        <v>0.871</v>
      </c>
      <c r="E102" s="3">
        <f>7.755+93.708+75.617+23.807+25.143+73.876+15.593+375.289+188.514+215.126+18.178</f>
        <v>1112.6060000000002</v>
      </c>
      <c r="F102" s="3">
        <f>0.981+13.897+11.536+3.373+2.913+18.601+2.858+62.3+23.361+24.579+3.415</f>
        <v>167.814</v>
      </c>
      <c r="G102" s="3">
        <f>0.064+0.114+0.117+0.016+0.03+0.107+0.229+0.038+0.158</f>
        <v>0.873</v>
      </c>
      <c r="H102" s="3">
        <f>4.361+103.38+6.654+2.177+341.93+59.06+45.016</f>
        <v>562.578</v>
      </c>
      <c r="I102" s="3">
        <f>0.68+20.754+1.463+0.439+86.765+11.955+13.013</f>
        <v>135.069</v>
      </c>
      <c r="J102" s="3">
        <v>1</v>
      </c>
      <c r="K102" s="3">
        <f>SUM(B102:D102)</f>
        <v>619.811</v>
      </c>
      <c r="L102" s="3">
        <f>SUM(E102:G102)</f>
        <v>1281.2930000000003</v>
      </c>
      <c r="M102" s="3">
        <f>SUM(H102:J102)</f>
        <v>698.6469999999999</v>
      </c>
      <c r="N102" s="3">
        <f>K102+L102+M102</f>
        <v>2599.751</v>
      </c>
      <c r="O102" s="3">
        <f aca="true" t="shared" si="3" ref="O102:Q104">B102+E102+H102</f>
        <v>2163.688</v>
      </c>
      <c r="P102" s="3">
        <f t="shared" si="3"/>
        <v>433.31899999999996</v>
      </c>
      <c r="Q102" s="3">
        <f t="shared" si="3"/>
        <v>2.7439999999999998</v>
      </c>
      <c r="R102" s="3">
        <f>O102+P102+Q102</f>
        <v>2599.751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>
      <c r="A103" s="7">
        <v>2006</v>
      </c>
      <c r="B103" s="3">
        <f>207.031+229.866+15.362</f>
        <v>452.25900000000007</v>
      </c>
      <c r="C103" s="3">
        <f>47.771+0.345+69.517+3.289</f>
        <v>120.922</v>
      </c>
      <c r="D103" s="3">
        <v>1</v>
      </c>
      <c r="E103" s="3">
        <f>6.992+97.094+78.472+24.076+25.145+71.06+14.553+373.359+180.418+6.056+1.369+4.093+231.577+17.889</f>
        <v>1132.153</v>
      </c>
      <c r="F103" s="3">
        <f>0.967+14.564+12.253+3.402+2.933+18.186+2.749+62.173+22.625+0.702+27.983+3.581</f>
        <v>172.118</v>
      </c>
      <c r="G103" s="3">
        <v>1</v>
      </c>
      <c r="H103" s="3">
        <f>4.878+106.911+8.131+2.278+352.487+54.665+45.096+7.184</f>
        <v>581.63</v>
      </c>
      <c r="I103" s="3">
        <f>0.877+22.179+1.799+0.475+91.638+11.061+13.624+1.073</f>
        <v>142.726</v>
      </c>
      <c r="J103" s="3">
        <v>1</v>
      </c>
      <c r="K103" s="3">
        <f>SUM(B103:D103)</f>
        <v>574.181</v>
      </c>
      <c r="L103" s="3">
        <f>SUM(E103:G103)</f>
        <v>1305.271</v>
      </c>
      <c r="M103" s="3">
        <f>SUM(H103:J103)</f>
        <v>725.356</v>
      </c>
      <c r="N103" s="3">
        <f>K103+L103+M103</f>
        <v>2604.808</v>
      </c>
      <c r="O103" s="3">
        <f t="shared" si="3"/>
        <v>2166.042</v>
      </c>
      <c r="P103" s="3">
        <f t="shared" si="3"/>
        <v>435.76599999999996</v>
      </c>
      <c r="Q103" s="3">
        <f t="shared" si="3"/>
        <v>3</v>
      </c>
      <c r="R103" s="3">
        <f>O103+P103+Q103</f>
        <v>2604.808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7">
        <v>2007</v>
      </c>
      <c r="B104" s="3">
        <f>215.375+239.1+13.282</f>
        <v>467.757</v>
      </c>
      <c r="C104" s="3">
        <f>51.304+73.378+2.816</f>
        <v>127.498</v>
      </c>
      <c r="D104" s="3">
        <v>1</v>
      </c>
      <c r="E104" s="3">
        <f>7.762+99.932+83.141+25.518+23.065+70.142+12.873+382.91+158.724+4.109+246.051+17.377</f>
        <v>1131.604</v>
      </c>
      <c r="F104" s="3">
        <f>0.895+14.979+12.957+3.666+2.826+17.634+2.573+62.571+19.853+29.872+3.557</f>
        <v>171.383</v>
      </c>
      <c r="G104" s="3">
        <v>1</v>
      </c>
      <c r="H104" s="3">
        <f>4.942+113.887+9.386+2.364+365.846+46.69+15.588+14.642+45.995+5.095</f>
        <v>624.4350000000001</v>
      </c>
      <c r="I104" s="3">
        <f>0.84+23.89+2.182+0.479+96.792+9.465+14.139+0.622+0.632</f>
        <v>149.04100000000003</v>
      </c>
      <c r="J104" s="3">
        <v>1</v>
      </c>
      <c r="K104" s="3">
        <f>SUM(B104:D104)</f>
        <v>596.255</v>
      </c>
      <c r="L104" s="3">
        <f>SUM(E104:G104)</f>
        <v>1303.987</v>
      </c>
      <c r="M104" s="3">
        <f>SUM(H104:J104)</f>
        <v>774.4760000000001</v>
      </c>
      <c r="N104" s="3">
        <f>K104+L104+M104</f>
        <v>2674.7180000000003</v>
      </c>
      <c r="O104" s="3">
        <f t="shared" si="3"/>
        <v>2223.7960000000003</v>
      </c>
      <c r="P104" s="3">
        <f t="shared" si="3"/>
        <v>447.922</v>
      </c>
      <c r="Q104" s="3">
        <f t="shared" si="3"/>
        <v>3</v>
      </c>
      <c r="R104" s="3">
        <f>O104+P104+Q104</f>
        <v>2674.7180000000003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5" t="s">
        <v>101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11" ht="12.75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21">
    <mergeCell ref="B84:D84"/>
    <mergeCell ref="B92:D92"/>
    <mergeCell ref="E92:G92"/>
    <mergeCell ref="H92:J92"/>
    <mergeCell ref="E84:J84"/>
    <mergeCell ref="K92:M92"/>
    <mergeCell ref="T76:Y76"/>
    <mergeCell ref="AI84:AT84"/>
    <mergeCell ref="N92:P92"/>
    <mergeCell ref="Q92:S92"/>
    <mergeCell ref="T92:Y92"/>
    <mergeCell ref="AC84:AH84"/>
    <mergeCell ref="Z84:AB84"/>
    <mergeCell ref="K84:M84"/>
    <mergeCell ref="N84:Y84"/>
    <mergeCell ref="Q76:S76"/>
    <mergeCell ref="N76:P76"/>
    <mergeCell ref="B76:D76"/>
    <mergeCell ref="H76:J76"/>
    <mergeCell ref="E76:G76"/>
    <mergeCell ref="K76:M7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"/>
    </sheetView>
  </sheetViews>
  <sheetFormatPr defaultColWidth="11.421875" defaultRowHeight="12.75"/>
  <cols>
    <col min="1" max="20" width="8.7109375" style="0" customWidth="1"/>
  </cols>
  <sheetData>
    <row r="1" spans="1:3" ht="12.75">
      <c r="A1" t="s">
        <v>18</v>
      </c>
      <c r="C1" s="4" t="s">
        <v>102</v>
      </c>
    </row>
    <row r="2" ht="12.75">
      <c r="C2" s="4" t="s">
        <v>136</v>
      </c>
    </row>
    <row r="3" spans="1:16" ht="12.75">
      <c r="A3" s="2"/>
      <c r="B3" s="5"/>
      <c r="C3" s="6"/>
      <c r="D3" s="6"/>
      <c r="E3" s="6"/>
      <c r="F3" s="6"/>
      <c r="G3" s="6"/>
      <c r="H3" s="6"/>
      <c r="I3" s="6"/>
      <c r="K3" s="6"/>
      <c r="L3" s="6"/>
      <c r="N3" s="6"/>
      <c r="O3" s="6"/>
      <c r="P3" s="6"/>
    </row>
    <row r="4" spans="1:16" ht="12.75">
      <c r="A4" s="9" t="s">
        <v>15</v>
      </c>
      <c r="B4" s="5"/>
      <c r="C4" s="6"/>
      <c r="D4" s="6"/>
      <c r="E4" s="6"/>
      <c r="F4" s="6"/>
      <c r="G4" s="6"/>
      <c r="H4" s="6"/>
      <c r="I4" s="6"/>
      <c r="K4" s="6"/>
      <c r="L4" s="6"/>
      <c r="N4" s="6"/>
      <c r="O4" s="6"/>
      <c r="P4" s="6"/>
    </row>
    <row r="5" spans="1:16" ht="12.75">
      <c r="A5" s="9" t="s">
        <v>16</v>
      </c>
      <c r="B5" s="5"/>
      <c r="C5" s="6"/>
      <c r="D5" s="6"/>
      <c r="E5" s="6"/>
      <c r="F5" s="6"/>
      <c r="G5" s="6"/>
      <c r="H5" s="6"/>
      <c r="I5" s="6"/>
      <c r="K5" s="6"/>
      <c r="L5" s="6"/>
      <c r="N5" s="6"/>
      <c r="O5" s="6"/>
      <c r="P5" s="6"/>
    </row>
    <row r="6" spans="1:16" ht="12.75">
      <c r="A6" s="9" t="s">
        <v>17</v>
      </c>
      <c r="B6" s="5"/>
      <c r="C6" s="6"/>
      <c r="D6" s="6"/>
      <c r="E6" s="6"/>
      <c r="F6" s="6"/>
      <c r="G6" s="6"/>
      <c r="H6" s="6"/>
      <c r="I6" s="6"/>
      <c r="K6" s="6"/>
      <c r="L6" s="6"/>
      <c r="N6" s="6"/>
      <c r="O6" s="6"/>
      <c r="P6" s="6"/>
    </row>
    <row r="7" ht="12.75">
      <c r="A7" s="9" t="s">
        <v>84</v>
      </c>
    </row>
    <row r="8" ht="12.75">
      <c r="A8" s="9" t="s">
        <v>91</v>
      </c>
    </row>
    <row r="9" spans="1:17" ht="12.75">
      <c r="A9" s="7">
        <v>2007</v>
      </c>
      <c r="B9" s="7" t="s">
        <v>0</v>
      </c>
      <c r="C9" s="27" t="s">
        <v>87</v>
      </c>
      <c r="D9" s="27" t="s">
        <v>1</v>
      </c>
      <c r="E9" s="27" t="s">
        <v>90</v>
      </c>
      <c r="F9" s="27" t="s">
        <v>88</v>
      </c>
      <c r="G9" s="27" t="s">
        <v>7</v>
      </c>
      <c r="H9" s="27" t="s">
        <v>12</v>
      </c>
      <c r="I9" s="7" t="s">
        <v>9</v>
      </c>
      <c r="J9" s="7" t="s">
        <v>8</v>
      </c>
      <c r="K9" s="27" t="s">
        <v>10</v>
      </c>
      <c r="L9" s="27" t="s">
        <v>11</v>
      </c>
      <c r="M9" s="27" t="s">
        <v>13</v>
      </c>
      <c r="N9" s="27" t="s">
        <v>89</v>
      </c>
      <c r="O9" s="27"/>
      <c r="P9" s="27"/>
      <c r="Q9" s="27"/>
    </row>
    <row r="10" spans="1:17" ht="12.75">
      <c r="A10" s="26" t="s">
        <v>85</v>
      </c>
      <c r="B10" s="10">
        <f>Denombrements2042!B7</f>
        <v>36036.126000000004</v>
      </c>
      <c r="C10" s="27"/>
      <c r="D10" s="27"/>
      <c r="E10" s="28">
        <f>Denombrements2042!B20</f>
        <v>930.4639442509501</v>
      </c>
      <c r="F10" s="28">
        <f>Denombrements2042!C20+Denombrements2042!D20</f>
        <v>576.186891401</v>
      </c>
      <c r="G10" s="28">
        <f>Denombrements2042!E20</f>
        <v>217.07385674900002</v>
      </c>
      <c r="H10" s="28">
        <f>Denombrements2042!F20</f>
        <v>65.00549168375001</v>
      </c>
      <c r="I10" s="28">
        <f>Denombrements2042!G20</f>
        <v>29.7907344182</v>
      </c>
      <c r="J10" s="28">
        <f>Denombrements2042!H20</f>
        <v>42.406969999</v>
      </c>
      <c r="K10" s="28">
        <f>Denombrements2042!R20</f>
        <v>7.2141881825</v>
      </c>
      <c r="L10" s="28">
        <f>Denombrements2042!S20</f>
        <v>25.289435605250006</v>
      </c>
      <c r="M10" s="28">
        <f>Denombrements2042!T20</f>
        <v>31.14722356475</v>
      </c>
      <c r="N10" s="27"/>
      <c r="O10" s="27"/>
      <c r="P10" s="27"/>
      <c r="Q10" s="27"/>
    </row>
    <row r="11" spans="1:18" ht="12.75">
      <c r="A11" s="26" t="s">
        <v>86</v>
      </c>
      <c r="B11" s="10">
        <f>'[2]National2007'!$C$19/1000</f>
        <v>36036.127</v>
      </c>
      <c r="C11" s="28">
        <f>'[2]National2007'!$D$19/1000000000</f>
        <v>818.291303523</v>
      </c>
      <c r="D11" s="28">
        <f>'[2]National2007'!$E$19/1000000000</f>
        <v>49.104870774</v>
      </c>
      <c r="E11" s="28"/>
      <c r="F11" s="28">
        <f>'[2]National2007'!$I$19/1000000000</f>
        <v>576.696329635</v>
      </c>
      <c r="G11" s="28">
        <f>'[2]National2007'!$K$19/1000000000</f>
        <v>217.168807608</v>
      </c>
      <c r="H11" s="28"/>
      <c r="I11" s="27"/>
      <c r="J11" s="27"/>
      <c r="O11" s="27"/>
      <c r="P11" s="27"/>
      <c r="R11" s="27"/>
    </row>
    <row r="12" spans="1:18" ht="12.75">
      <c r="A12" s="26" t="s">
        <v>93</v>
      </c>
      <c r="B12" s="10">
        <f>'[1]Tableau 210'!$D36/1000</f>
        <v>36036.127</v>
      </c>
      <c r="C12" s="28">
        <f>'[1]Tableau 210'!$AS36/1000</f>
        <v>818.2913035229999</v>
      </c>
      <c r="D12" s="28">
        <f>'[1]Tableau 210'!$AT36/1000</f>
        <v>49.104870774000005</v>
      </c>
      <c r="E12" s="28">
        <f>'[1]Tableau 212'!D36/1000</f>
        <v>914.9250935160003</v>
      </c>
      <c r="F12" s="28">
        <f>'[1]Tableau 212'!E36/1000000000</f>
        <v>574.776880606</v>
      </c>
      <c r="G12" s="28">
        <f>'[1]Tableau 212'!F36/1000000000</f>
        <v>223.710464531</v>
      </c>
      <c r="H12" s="1">
        <f>K12+L12+M12+N12</f>
        <v>63.61970301</v>
      </c>
      <c r="I12" s="28">
        <f>'[1]Tableau 212'!K36/1000000000</f>
        <v>32.037074928</v>
      </c>
      <c r="J12" s="28">
        <f>'[1]Tableau 212'!J36/1000000000</f>
        <v>20.780970441</v>
      </c>
      <c r="K12" s="28">
        <f>'[1]Tableau 212'!G36/1000000000</f>
        <v>7.200212344</v>
      </c>
      <c r="L12" s="28">
        <f>'[1]Tableau 212'!H36/1000000000</f>
        <v>22.781687099</v>
      </c>
      <c r="M12" s="28">
        <f>'[1]Tableau 212'!I36/1000000000</f>
        <v>30.84476778</v>
      </c>
      <c r="N12" s="28">
        <f>'[1]Tableau 212'!L36/1000000000</f>
        <v>2.793035787</v>
      </c>
      <c r="R12" s="28">
        <f>'[1]Tableau 212'!M$36/1000000000</f>
        <v>1.557523177E-05</v>
      </c>
    </row>
    <row r="13" spans="1:4" ht="12.75">
      <c r="A13" s="9" t="s">
        <v>92</v>
      </c>
      <c r="D13" s="29"/>
    </row>
    <row r="14" spans="1:4" ht="12.75">
      <c r="A14" s="26" t="s">
        <v>286</v>
      </c>
      <c r="D14" s="29"/>
    </row>
    <row r="15" spans="1:4" ht="12.75">
      <c r="A15" s="26" t="s">
        <v>287</v>
      </c>
      <c r="D15" s="29"/>
    </row>
    <row r="16" ht="12.75">
      <c r="A16" s="26" t="s">
        <v>288</v>
      </c>
    </row>
    <row r="17" ht="12.75">
      <c r="A17" s="26" t="s">
        <v>289</v>
      </c>
    </row>
    <row r="18" ht="12.75">
      <c r="A18" s="26" t="s">
        <v>94</v>
      </c>
    </row>
    <row r="19" ht="12.75">
      <c r="A19" s="9" t="s">
        <v>95</v>
      </c>
    </row>
    <row r="20" spans="1:14" ht="12.75">
      <c r="A20" s="26" t="s">
        <v>93</v>
      </c>
      <c r="B20" s="7" t="s">
        <v>0</v>
      </c>
      <c r="C20" s="27" t="s">
        <v>87</v>
      </c>
      <c r="D20" s="27" t="s">
        <v>1</v>
      </c>
      <c r="E20" s="27" t="s">
        <v>90</v>
      </c>
      <c r="F20" s="27" t="s">
        <v>88</v>
      </c>
      <c r="G20" s="27" t="s">
        <v>7</v>
      </c>
      <c r="H20" s="27" t="s">
        <v>12</v>
      </c>
      <c r="I20" s="7" t="s">
        <v>9</v>
      </c>
      <c r="J20" s="7" t="s">
        <v>8</v>
      </c>
      <c r="K20" s="27" t="s">
        <v>10</v>
      </c>
      <c r="L20" s="27" t="s">
        <v>11</v>
      </c>
      <c r="M20" s="27" t="s">
        <v>13</v>
      </c>
      <c r="N20" s="27" t="s">
        <v>89</v>
      </c>
    </row>
    <row r="21" spans="1:14" ht="12.75">
      <c r="A21" s="26" t="s">
        <v>97</v>
      </c>
      <c r="B21" s="10">
        <f>'[1]Tableau 210'!$D36/1000</f>
        <v>36036.127</v>
      </c>
      <c r="C21" s="28">
        <f>'[1]Tableau 210'!$AS36/1000</f>
        <v>818.2913035229999</v>
      </c>
      <c r="D21" s="28">
        <f>'[1]Tableau 210'!$AT36/1000</f>
        <v>49.104870774000005</v>
      </c>
      <c r="E21" s="28">
        <f>'[1]Tableau 212'!D36/1000</f>
        <v>914.9250935160003</v>
      </c>
      <c r="F21" s="28">
        <f>'[1]Tableau 212'!E36/1000000000</f>
        <v>574.776880606</v>
      </c>
      <c r="G21" s="28">
        <f>'[1]Tableau 212'!F36/1000000000</f>
        <v>223.710464531</v>
      </c>
      <c r="H21" s="1">
        <f>K21+L21+M21+N21</f>
        <v>63.61970301</v>
      </c>
      <c r="I21" s="28">
        <f>'[1]Tableau 212'!K36/1000000000</f>
        <v>32.037074928</v>
      </c>
      <c r="J21" s="28">
        <f>'[1]Tableau 212'!J36/1000000000</f>
        <v>20.780970441</v>
      </c>
      <c r="K21" s="28">
        <f>'[1]Tableau 212'!G36/1000000000</f>
        <v>7.200212344</v>
      </c>
      <c r="L21" s="28">
        <f>'[1]Tableau 212'!H36/1000000000</f>
        <v>22.781687099</v>
      </c>
      <c r="M21" s="28">
        <f>'[1]Tableau 212'!I36/1000000000</f>
        <v>30.84476778</v>
      </c>
      <c r="N21" s="28">
        <f>'[1]Tableau 212'!L36/1000000000</f>
        <v>2.793035787</v>
      </c>
    </row>
    <row r="22" spans="1:14" ht="12.75">
      <c r="A22" s="26" t="s">
        <v>96</v>
      </c>
      <c r="B22" s="10">
        <f>'[1]Tableau 210'!$D34/1000</f>
        <v>35062.371</v>
      </c>
      <c r="C22" s="28">
        <f>'[1]Tableau 210'!$AS34/1000</f>
        <v>803.4440288179999</v>
      </c>
      <c r="D22" s="28">
        <f>'[1]Tableau 210'!$AT34/1000</f>
        <v>48.653656043000005</v>
      </c>
      <c r="E22" s="28">
        <f>'[1]Tableau 212'!D34/1000</f>
        <v>897.9052378430004</v>
      </c>
      <c r="F22" s="28">
        <f>'[1]Tableau 212'!E34/1000000000</f>
        <v>562.570814222</v>
      </c>
      <c r="G22" s="28">
        <f>'[1]Tableau 212'!F34/1000000000</f>
        <v>221.113860492</v>
      </c>
      <c r="H22" s="1">
        <f>K22+L22+M22+N22</f>
        <v>62.226693311000005</v>
      </c>
      <c r="I22" s="28">
        <f>'[1]Tableau 212'!K34/1000000000</f>
        <v>31.435979192</v>
      </c>
      <c r="J22" s="28">
        <f>'[1]Tableau 212'!J34/1000000000</f>
        <v>20.557890626</v>
      </c>
      <c r="K22" s="28">
        <f>'[1]Tableau 212'!G34/1000000000</f>
        <v>7.120997759</v>
      </c>
      <c r="L22" s="28">
        <f>'[1]Tableau 212'!H34/1000000000</f>
        <v>22.106965617</v>
      </c>
      <c r="M22" s="28">
        <f>'[1]Tableau 212'!I34/1000000000</f>
        <v>30.242847246</v>
      </c>
      <c r="N22" s="28">
        <f>'[1]Tableau 212'!L34/1000000000</f>
        <v>2.755882689</v>
      </c>
    </row>
    <row r="23" spans="1:14" ht="12.75">
      <c r="A23" s="26" t="s">
        <v>98</v>
      </c>
      <c r="B23" s="10">
        <f>'[1]Tableau 210'!$D35/1000</f>
        <v>973.756</v>
      </c>
      <c r="C23" s="28">
        <f>'[1]Tableau 210'!$AS35/1000</f>
        <v>14.847274705</v>
      </c>
      <c r="D23" s="28">
        <f>'[1]Tableau 210'!$AT35/1000</f>
        <v>0.45121473100000004</v>
      </c>
      <c r="E23" s="28">
        <f>'[1]Tableau 212'!D35/1000</f>
        <v>17.019855673</v>
      </c>
      <c r="F23" s="28">
        <f>'[1]Tableau 212'!E35/1000000000</f>
        <v>12.206066384</v>
      </c>
      <c r="G23" s="28">
        <f>'[1]Tableau 212'!F35/1000000000</f>
        <v>2.596604039</v>
      </c>
      <c r="H23" s="1">
        <f>K23+L23+M23+N23</f>
        <v>1.3930096990000003</v>
      </c>
      <c r="I23" s="28">
        <f>'[1]Tableau 212'!K35/1000000000</f>
        <v>0.601095736</v>
      </c>
      <c r="J23" s="28">
        <f>'[1]Tableau 212'!J35/1000000000</f>
        <v>0.223079815</v>
      </c>
      <c r="K23" s="28">
        <f>'[1]Tableau 212'!G35/1000000000</f>
        <v>0.079214585</v>
      </c>
      <c r="L23" s="28">
        <f>'[1]Tableau 212'!H35/1000000000</f>
        <v>0.674721482</v>
      </c>
      <c r="M23" s="28">
        <f>'[1]Tableau 212'!I35/1000000000</f>
        <v>0.601920534</v>
      </c>
      <c r="N23" s="28">
        <f>'[1]Tableau 212'!L35/1000000000</f>
        <v>0.037153098</v>
      </c>
    </row>
    <row r="24" spans="1:14" ht="12.75">
      <c r="A24" s="9" t="s">
        <v>99</v>
      </c>
      <c r="B24" s="31">
        <f aca="true" t="shared" si="0" ref="B24:N24">B22/B$21</f>
        <v>0.9729783392094272</v>
      </c>
      <c r="C24" s="31">
        <f t="shared" si="0"/>
        <v>0.9818557588953006</v>
      </c>
      <c r="D24" s="31">
        <f t="shared" si="0"/>
        <v>0.9908112021498505</v>
      </c>
      <c r="E24" s="31">
        <f t="shared" si="0"/>
        <v>0.98139754194784</v>
      </c>
      <c r="F24" s="30">
        <f t="shared" si="0"/>
        <v>0.9787638181077658</v>
      </c>
      <c r="G24" s="30">
        <f t="shared" si="0"/>
        <v>0.9883930148531778</v>
      </c>
      <c r="H24" s="30">
        <f t="shared" si="0"/>
        <v>0.9781041150289395</v>
      </c>
      <c r="I24" s="30">
        <f t="shared" si="0"/>
        <v>0.9812374963272739</v>
      </c>
      <c r="J24" s="30">
        <f t="shared" si="0"/>
        <v>0.9892651878008606</v>
      </c>
      <c r="K24" s="30">
        <f t="shared" si="0"/>
        <v>0.9889982987701731</v>
      </c>
      <c r="L24" s="30">
        <f t="shared" si="0"/>
        <v>0.9703831643781282</v>
      </c>
      <c r="M24" s="30">
        <f t="shared" si="0"/>
        <v>0.9804854898473156</v>
      </c>
      <c r="N24" s="30">
        <f t="shared" si="0"/>
        <v>0.986697951321309</v>
      </c>
    </row>
    <row r="25" spans="1:14" ht="12.75">
      <c r="A25" s="9" t="s">
        <v>100</v>
      </c>
      <c r="B25" s="31">
        <f aca="true" t="shared" si="1" ref="B25:N25">B23/B$21</f>
        <v>0.02702166079057275</v>
      </c>
      <c r="C25" s="31">
        <f t="shared" si="1"/>
        <v>0.018144241104699317</v>
      </c>
      <c r="D25" s="31">
        <f t="shared" si="1"/>
        <v>0.009188797850149494</v>
      </c>
      <c r="E25" s="31">
        <f t="shared" si="1"/>
        <v>0.018602458052160042</v>
      </c>
      <c r="F25" s="30">
        <f t="shared" si="1"/>
        <v>0.021236181892234206</v>
      </c>
      <c r="G25" s="30">
        <f t="shared" si="1"/>
        <v>0.011606985146822147</v>
      </c>
      <c r="H25" s="30">
        <f t="shared" si="1"/>
        <v>0.02189588497106064</v>
      </c>
      <c r="I25" s="30">
        <f t="shared" si="1"/>
        <v>0.01876250367272606</v>
      </c>
      <c r="J25" s="30">
        <f t="shared" si="1"/>
        <v>0.010734812199139299</v>
      </c>
      <c r="K25" s="30">
        <f t="shared" si="1"/>
        <v>0.011001701229826953</v>
      </c>
      <c r="L25" s="30">
        <f t="shared" si="1"/>
        <v>0.029616835621871784</v>
      </c>
      <c r="M25" s="30">
        <f t="shared" si="1"/>
        <v>0.019514510152684312</v>
      </c>
      <c r="N25" s="30">
        <f t="shared" si="1"/>
        <v>0.013302048678690991</v>
      </c>
    </row>
    <row r="26" ht="12.75">
      <c r="A26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2009-05-16T12:20:48Z</dcterms:created>
  <dcterms:modified xsi:type="dcterms:W3CDTF">2011-01-12T12:05:12Z</dcterms:modified>
  <cp:category/>
  <cp:version/>
  <cp:contentType/>
  <cp:contentStatus/>
</cp:coreProperties>
</file>